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A39" lockStructure="1"/>
  <bookViews>
    <workbookView xWindow="240" yWindow="75" windowWidth="19440" windowHeight="7935"/>
  </bookViews>
  <sheets>
    <sheet name="Калькулятор ОСББ" sheetId="4" r:id="rId1"/>
    <sheet name="ОСББ" sheetId="5" state="hidden" r:id="rId2"/>
    <sheet name="Вхідні дані" sheetId="13" state="hidden" r:id="rId3"/>
    <sheet name="Фінансовий потік" sheetId="12" state="hidden" r:id="rId4"/>
    <sheet name="Розрахунки" sheetId="6" state="hidden" r:id="rId5"/>
    <sheet name="Регіони" sheetId="7" state="hidden" r:id="rId6"/>
    <sheet name="Тарифи" sheetId="8" state="hidden" r:id="rId7"/>
    <sheet name="Фінансовий потік Х" sheetId="9" state="hidden" r:id="rId8"/>
    <sheet name="Умови кредитування" sheetId="16" state="hidden" r:id="rId9"/>
    <sheet name="Порівняння платежів" sheetId="14" state="hidden" r:id="rId10"/>
    <sheet name="Порівняння щомісячних платежів " sheetId="15" state="hidden" r:id="rId11"/>
    <sheet name="Тарифи ЦО" sheetId="17" state="hidden" r:id="rId12"/>
    <sheet name="Перелік областей" sheetId="18" state="hidden" r:id="rId13"/>
  </sheets>
  <definedNames>
    <definedName name="Банки">'Умови кредитування'!$B$2:$B$6</definedName>
    <definedName name="Вінницька">'Тарифи ЦО'!$A$4:$A$9</definedName>
    <definedName name="Вінницька_область">#REF!</definedName>
    <definedName name="Волинська">'Тарифи ЦО'!$A$11:$A$16</definedName>
    <definedName name="Волинська_область">#REF!</definedName>
    <definedName name="Газовий_котел">#REF!</definedName>
    <definedName name="Дизельний_котел">#REF!</definedName>
    <definedName name="Дніпропетровська">'Тарифи ЦО'!$A$18:$A$36</definedName>
    <definedName name="Дніпропетровська_область">#REF!</definedName>
    <definedName name="Донецька">'Тарифи ЦО'!$A$39:$A$57</definedName>
    <definedName name="Донецька_область">#REF!</definedName>
    <definedName name="Дореволюционные" localSheetId="1">ОСББ!$B$2</definedName>
    <definedName name="Електричний_котел">#REF!</definedName>
    <definedName name="Житомирська">'Тарифи ЦО'!$A$59:$A$64</definedName>
    <definedName name="Житомирська_область">#REF!</definedName>
    <definedName name="Запорізька">'Тарифи ЦО'!$A$66:$A$72</definedName>
    <definedName name="Запорізька_область">#REF!</definedName>
    <definedName name="Заходи_з_енергозбереження">ОСББ!$C$16:$C$24</definedName>
    <definedName name="Івано_Франківська">'Тарифи ЦО'!$A$74:$A$77</definedName>
    <definedName name="Івано_Франківська_область">#REF!</definedName>
    <definedName name="Київ">'Тарифи ЦО'!$A$92:$A$95</definedName>
    <definedName name="Київська">'Тарифи ЦО'!$A$79:$A$90</definedName>
    <definedName name="Київська_область">#REF!</definedName>
    <definedName name="Кількість_поверхів">ОСББ!$A$16:$A$52</definedName>
    <definedName name="Кіровоградська">'Тарифи ЦО'!$A$97:$A$102</definedName>
    <definedName name="Кіровоградська_область">#REF!</definedName>
    <definedName name="Компанії">'Тарифи ЦО'!$A$3:$A$231</definedName>
    <definedName name="Котли">#REF!</definedName>
    <definedName name="Котли1">#REF!</definedName>
    <definedName name="Луганська">'Тарифи ЦО'!$A$104:$A$114</definedName>
    <definedName name="Луганська_область">#REF!</definedName>
    <definedName name="Львівська">'Тарифи ЦО'!$A$116:$A$130</definedName>
    <definedName name="Львівська_область">#REF!</definedName>
    <definedName name="м._Київ">#REF!</definedName>
    <definedName name="Миколаївська">'Тарифи ЦО'!$A$132:$A$136</definedName>
    <definedName name="Миколаївська_область">#REF!</definedName>
    <definedName name="Області">'Перелік областей'!$A$1:$A$25</definedName>
    <definedName name="Одеська">'Тарифи ЦО'!$A$138:$A$145</definedName>
    <definedName name="Одеська_область">#REF!</definedName>
    <definedName name="Полтавська">'Тарифи ЦО'!$A$147:$A$154</definedName>
    <definedName name="Полтавська_область">#REF!</definedName>
    <definedName name="Регіони">Регіони!$B$3:$B$27</definedName>
    <definedName name="Рівненська">'Тарифи ЦО'!$A$156:$A$161</definedName>
    <definedName name="Рівненська_область">#REF!</definedName>
    <definedName name="Строк_кредиту">#REF!</definedName>
    <definedName name="Сумська">'Тарифи ЦО'!$A$163:$A$174</definedName>
    <definedName name="Сумська_область">#REF!</definedName>
    <definedName name="таня">#REF!</definedName>
    <definedName name="Твердопаливний_котел">#REF!</definedName>
    <definedName name="Тернопільська">'Тарифи ЦО'!$A$176:$A$178</definedName>
    <definedName name="Тернопільська_область">#REF!</definedName>
    <definedName name="Тип_будинку">ОСББ!$B$2:$B$10</definedName>
    <definedName name="Тип_фінансування">Розрахунки!$B$19:$B$20</definedName>
    <definedName name="Харківська">'Тарифи ЦО'!$A$180:$A$194</definedName>
    <definedName name="Харківська_область">#REF!</definedName>
    <definedName name="Херсонська">'Тарифи ЦО'!$A$196:$A$200</definedName>
    <definedName name="Херсонська_область">#REF!</definedName>
    <definedName name="Хмельницька">'Тарифи ЦО'!$A$202:$A$210</definedName>
    <definedName name="Хмельницька_область">#REF!</definedName>
    <definedName name="Централізоване">#REF!</definedName>
    <definedName name="Черкаська">'Тарифи ЦО'!$A$212:$A$220</definedName>
    <definedName name="Черкаська_область">#REF!</definedName>
    <definedName name="Чернівецька">'Тарифи ЦО'!$A$222:$A$223</definedName>
    <definedName name="Чернівецька_область">#REF!</definedName>
    <definedName name="Чернігівська">'Тарифи ЦО'!$A$225:$A$229</definedName>
    <definedName name="Чернігівська_область">#REF!</definedName>
  </definedNames>
  <calcPr calcId="145621"/>
</workbook>
</file>

<file path=xl/calcChain.xml><?xml version="1.0" encoding="utf-8"?>
<calcChain xmlns="http://schemas.openxmlformats.org/spreadsheetml/2006/main">
  <c r="G59" i="5" l="1"/>
  <c r="B71" i="4"/>
  <c r="C37" i="12"/>
  <c r="D37" i="12"/>
  <c r="B18" i="13" l="1"/>
  <c r="A238" i="17"/>
  <c r="B25" i="13"/>
  <c r="B22" i="13"/>
  <c r="B24" i="13"/>
  <c r="D3" i="16"/>
  <c r="D2" i="16"/>
  <c r="B42" i="13"/>
  <c r="B6" i="13" s="1"/>
  <c r="B7" i="13" s="1"/>
  <c r="G3" i="6"/>
  <c r="B37" i="13"/>
  <c r="B36" i="13"/>
  <c r="B2" i="13" l="1"/>
  <c r="A1" i="18"/>
  <c r="A2" i="18"/>
  <c r="A3" i="18"/>
  <c r="A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C8" i="17"/>
  <c r="C16" i="17"/>
  <c r="C22" i="17"/>
  <c r="C48" i="17"/>
  <c r="C68" i="17"/>
  <c r="C71" i="17"/>
  <c r="C72" i="17"/>
  <c r="C75" i="17"/>
  <c r="C77" i="17"/>
  <c r="C89" i="17"/>
  <c r="C105" i="17"/>
  <c r="C107" i="17"/>
  <c r="C108" i="17"/>
  <c r="C110" i="17"/>
  <c r="C126" i="17"/>
  <c r="C127" i="17"/>
  <c r="C141" i="17"/>
  <c r="G3" i="14"/>
  <c r="G4" i="14"/>
  <c r="G6" i="14"/>
  <c r="G7" i="14"/>
  <c r="G9" i="14"/>
  <c r="G10" i="14"/>
  <c r="G12" i="14"/>
  <c r="G13" i="14"/>
  <c r="G15" i="14"/>
  <c r="G16" i="14"/>
  <c r="G18" i="14"/>
  <c r="G19" i="14"/>
  <c r="G21" i="14"/>
  <c r="G22" i="14"/>
  <c r="G24" i="14"/>
  <c r="G25" i="14"/>
  <c r="G27" i="14"/>
  <c r="G28" i="14"/>
  <c r="G30" i="14"/>
  <c r="G31" i="14"/>
  <c r="A34" i="14"/>
  <c r="A35" i="14"/>
  <c r="A36" i="14"/>
  <c r="A37" i="14"/>
  <c r="A38" i="14"/>
  <c r="A39" i="14"/>
  <c r="A40" i="14"/>
  <c r="A41" i="14"/>
  <c r="A42" i="14"/>
  <c r="A43" i="14"/>
  <c r="B20" i="13"/>
  <c r="C1" i="12"/>
  <c r="D1" i="12" s="1"/>
  <c r="E1" i="12"/>
  <c r="F1" i="12" s="1"/>
  <c r="G1" i="12" s="1"/>
  <c r="H1" i="12" s="1"/>
  <c r="I1" i="12" s="1"/>
  <c r="J1" i="12" s="1"/>
  <c r="K1" i="12" s="1"/>
  <c r="L1" i="12" s="1"/>
  <c r="M1" i="12" s="1"/>
  <c r="N1" i="12" s="1"/>
  <c r="O1" i="12" s="1"/>
  <c r="P1" i="12" s="1"/>
  <c r="Q1" i="12" s="1"/>
  <c r="R1" i="12" s="1"/>
  <c r="S1" i="12" s="1"/>
  <c r="T1" i="12" s="1"/>
  <c r="U1" i="12" s="1"/>
  <c r="V1" i="12" s="1"/>
  <c r="W1" i="12" s="1"/>
  <c r="X1" i="12" s="1"/>
  <c r="Y1" i="12" s="1"/>
  <c r="Z1" i="12" s="1"/>
  <c r="AA1" i="12" s="1"/>
  <c r="AB1" i="12" s="1"/>
  <c r="AC1" i="12" s="1"/>
  <c r="AD1" i="12" s="1"/>
  <c r="AE1" i="12" s="1"/>
  <c r="AF1" i="12" s="1"/>
  <c r="AG1" i="12" s="1"/>
  <c r="AH1" i="12" s="1"/>
  <c r="AI1" i="12" s="1"/>
  <c r="AJ1" i="12" s="1"/>
  <c r="AK1" i="12" s="1"/>
  <c r="AL1" i="12" s="1"/>
  <c r="AM1" i="12" s="1"/>
  <c r="AN1" i="12" s="1"/>
  <c r="AO1" i="12" s="1"/>
  <c r="AP1" i="12" s="1"/>
  <c r="AQ1" i="12" s="1"/>
  <c r="AR1" i="12" s="1"/>
  <c r="AS1" i="12" s="1"/>
  <c r="AT1" i="12" s="1"/>
  <c r="AU1" i="12" s="1"/>
  <c r="AV1" i="12" s="1"/>
  <c r="AW1" i="12" s="1"/>
  <c r="AX1" i="12" s="1"/>
  <c r="AY1" i="12" s="1"/>
  <c r="AZ1" i="12" s="1"/>
  <c r="BA1" i="12" s="1"/>
  <c r="BB1" i="12" s="1"/>
  <c r="BC1" i="12" s="1"/>
  <c r="BD1" i="12" s="1"/>
  <c r="BE1" i="12" s="1"/>
  <c r="BF1" i="12" s="1"/>
  <c r="BG1" i="12" s="1"/>
  <c r="BH1" i="12" s="1"/>
  <c r="BI1" i="12" s="1"/>
  <c r="BJ1" i="12" s="1"/>
  <c r="BK1" i="12" s="1"/>
  <c r="BL1" i="12" s="1"/>
  <c r="BM1" i="12" s="1"/>
  <c r="BN1" i="12" s="1"/>
  <c r="B10" i="12"/>
  <c r="C10" i="12"/>
  <c r="D10" i="12"/>
  <c r="C12" i="12"/>
  <c r="D12" i="12"/>
  <c r="C24" i="12"/>
  <c r="D24" i="12"/>
  <c r="B40" i="13" l="1"/>
  <c r="B38" i="13" s="1"/>
  <c r="B8" i="13"/>
  <c r="F8" i="12"/>
  <c r="H8" i="12"/>
  <c r="J8" i="12"/>
  <c r="L8" i="12"/>
  <c r="N8" i="12"/>
  <c r="P8" i="12"/>
  <c r="E8" i="12"/>
  <c r="G8" i="12"/>
  <c r="I8" i="12"/>
  <c r="K8" i="12"/>
  <c r="M8" i="12"/>
  <c r="O8" i="12"/>
  <c r="BO1" i="12"/>
  <c r="B9" i="13" l="1"/>
  <c r="R8" i="12"/>
  <c r="T8" i="12"/>
  <c r="V8" i="12"/>
  <c r="X8" i="12"/>
  <c r="Z8" i="12"/>
  <c r="AB8" i="12"/>
  <c r="Q8" i="12"/>
  <c r="S8" i="12"/>
  <c r="U8" i="12"/>
  <c r="W8" i="12"/>
  <c r="Y8" i="12"/>
  <c r="AA8" i="12"/>
  <c r="C4" i="14"/>
  <c r="BP1" i="12"/>
  <c r="AE8" i="12" l="1"/>
  <c r="AI8" i="12"/>
  <c r="AM8" i="12"/>
  <c r="AQ8" i="12"/>
  <c r="AU8" i="12"/>
  <c r="AY8" i="12"/>
  <c r="BC8" i="12"/>
  <c r="BG8" i="12"/>
  <c r="BK8" i="12"/>
  <c r="BO8" i="12"/>
  <c r="BS8" i="12"/>
  <c r="BW8" i="12"/>
  <c r="CA8" i="12"/>
  <c r="CE8" i="12"/>
  <c r="CI8" i="12"/>
  <c r="CM8" i="12"/>
  <c r="CQ8" i="12"/>
  <c r="CU8" i="12"/>
  <c r="CY8" i="12"/>
  <c r="DC8" i="12"/>
  <c r="DG8" i="12"/>
  <c r="DK8" i="12"/>
  <c r="DO8" i="12"/>
  <c r="DS8" i="12"/>
  <c r="DW8" i="12"/>
  <c r="EA8" i="12"/>
  <c r="EE8" i="12"/>
  <c r="EI8" i="12"/>
  <c r="EM8" i="12"/>
  <c r="EQ8" i="12"/>
  <c r="EU8" i="12"/>
  <c r="EY8" i="12"/>
  <c r="FC8" i="12"/>
  <c r="FG8" i="12"/>
  <c r="FK8" i="12"/>
  <c r="FO8" i="12"/>
  <c r="FS8" i="12"/>
  <c r="FW8" i="12"/>
  <c r="GA8" i="12"/>
  <c r="GE8" i="12"/>
  <c r="GI8" i="12"/>
  <c r="GM8" i="12"/>
  <c r="GQ8" i="12"/>
  <c r="GU8" i="12"/>
  <c r="GY8" i="12"/>
  <c r="HC8" i="12"/>
  <c r="HG8" i="12"/>
  <c r="HK8" i="12"/>
  <c r="HO8" i="12"/>
  <c r="HS8" i="12"/>
  <c r="HW8" i="12"/>
  <c r="IA8" i="12"/>
  <c r="IE8" i="12"/>
  <c r="AD8" i="12"/>
  <c r="AH8" i="12"/>
  <c r="AL8" i="12"/>
  <c r="AP8" i="12"/>
  <c r="AT8" i="12"/>
  <c r="AX8" i="12"/>
  <c r="BB8" i="12"/>
  <c r="BF8" i="12"/>
  <c r="BJ8" i="12"/>
  <c r="BN8" i="12"/>
  <c r="BR8" i="12"/>
  <c r="BV8" i="12"/>
  <c r="BZ8" i="12"/>
  <c r="CD8" i="12"/>
  <c r="CH8" i="12"/>
  <c r="CL8" i="12"/>
  <c r="CP8" i="12"/>
  <c r="CT8" i="12"/>
  <c r="CX8" i="12"/>
  <c r="DB8" i="12"/>
  <c r="DF8" i="12"/>
  <c r="DJ8" i="12"/>
  <c r="DN8" i="12"/>
  <c r="DR8" i="12"/>
  <c r="DV8" i="12"/>
  <c r="DZ8" i="12"/>
  <c r="ED8" i="12"/>
  <c r="EH8" i="12"/>
  <c r="EL8" i="12"/>
  <c r="EP8" i="12"/>
  <c r="ET8" i="12"/>
  <c r="EX8" i="12"/>
  <c r="FB8" i="12"/>
  <c r="FF8" i="12"/>
  <c r="FJ8" i="12"/>
  <c r="FN8" i="12"/>
  <c r="FR8" i="12"/>
  <c r="FV8" i="12"/>
  <c r="FZ8" i="12"/>
  <c r="GD8" i="12"/>
  <c r="GH8" i="12"/>
  <c r="GL8" i="12"/>
  <c r="GP8" i="12"/>
  <c r="GT8" i="12"/>
  <c r="GX8" i="12"/>
  <c r="HB8" i="12"/>
  <c r="HF8" i="12"/>
  <c r="HJ8" i="12"/>
  <c r="HN8" i="12"/>
  <c r="HR8" i="12"/>
  <c r="HV8" i="12"/>
  <c r="HZ8" i="12"/>
  <c r="ID8" i="12"/>
  <c r="AC8" i="12"/>
  <c r="AG8" i="12"/>
  <c r="AK8" i="12"/>
  <c r="AO8" i="12"/>
  <c r="AS8" i="12"/>
  <c r="AW8" i="12"/>
  <c r="BA8" i="12"/>
  <c r="BE8" i="12"/>
  <c r="BI8" i="12"/>
  <c r="BM8" i="12"/>
  <c r="BQ8" i="12"/>
  <c r="BU8" i="12"/>
  <c r="BY8" i="12"/>
  <c r="CC8" i="12"/>
  <c r="CG8" i="12"/>
  <c r="CK8" i="12"/>
  <c r="CO8" i="12"/>
  <c r="CS8" i="12"/>
  <c r="CW8" i="12"/>
  <c r="DA8" i="12"/>
  <c r="DE8" i="12"/>
  <c r="DI8" i="12"/>
  <c r="DM8" i="12"/>
  <c r="DQ8" i="12"/>
  <c r="DU8" i="12"/>
  <c r="DY8" i="12"/>
  <c r="EC8" i="12"/>
  <c r="EG8" i="12"/>
  <c r="EK8" i="12"/>
  <c r="EO8" i="12"/>
  <c r="ES8" i="12"/>
  <c r="EW8" i="12"/>
  <c r="FA8" i="12"/>
  <c r="FE8" i="12"/>
  <c r="FI8" i="12"/>
  <c r="FM8" i="12"/>
  <c r="FQ8" i="12"/>
  <c r="FU8" i="12"/>
  <c r="FY8" i="12"/>
  <c r="GC8" i="12"/>
  <c r="GG8" i="12"/>
  <c r="GK8" i="12"/>
  <c r="GO8" i="12"/>
  <c r="GS8" i="12"/>
  <c r="GW8" i="12"/>
  <c r="HA8" i="12"/>
  <c r="HE8" i="12"/>
  <c r="HI8" i="12"/>
  <c r="HM8" i="12"/>
  <c r="HQ8" i="12"/>
  <c r="HU8" i="12"/>
  <c r="HY8" i="12"/>
  <c r="IC8" i="12"/>
  <c r="IG8" i="12"/>
  <c r="AF8" i="12"/>
  <c r="AJ8" i="12"/>
  <c r="AN8" i="12"/>
  <c r="AR8" i="12"/>
  <c r="AV8" i="12"/>
  <c r="AZ8" i="12"/>
  <c r="BD8" i="12"/>
  <c r="BH8" i="12"/>
  <c r="BL8" i="12"/>
  <c r="BP8" i="12"/>
  <c r="BT8" i="12"/>
  <c r="BX8" i="12"/>
  <c r="CB8" i="12"/>
  <c r="CF8" i="12"/>
  <c r="CJ8" i="12"/>
  <c r="CN8" i="12"/>
  <c r="CR8" i="12"/>
  <c r="CV8" i="12"/>
  <c r="CZ8" i="12"/>
  <c r="DD8" i="12"/>
  <c r="DH8" i="12"/>
  <c r="DL8" i="12"/>
  <c r="DP8" i="12"/>
  <c r="DT8" i="12"/>
  <c r="DX8" i="12"/>
  <c r="EB8" i="12"/>
  <c r="EF8" i="12"/>
  <c r="EJ8" i="12"/>
  <c r="EN8" i="12"/>
  <c r="ER8" i="12"/>
  <c r="EV8" i="12"/>
  <c r="EZ8" i="12"/>
  <c r="FD8" i="12"/>
  <c r="FH8" i="12"/>
  <c r="FL8" i="12"/>
  <c r="FP8" i="12"/>
  <c r="FT8" i="12"/>
  <c r="FX8" i="12"/>
  <c r="GB8" i="12"/>
  <c r="GF8" i="12"/>
  <c r="GJ8" i="12"/>
  <c r="GN8" i="12"/>
  <c r="GR8" i="12"/>
  <c r="GV8" i="12"/>
  <c r="GZ8" i="12"/>
  <c r="HD8" i="12"/>
  <c r="HH8" i="12"/>
  <c r="HL8" i="12"/>
  <c r="HP8" i="12"/>
  <c r="HT8" i="12"/>
  <c r="HX8" i="12"/>
  <c r="IB8" i="12"/>
  <c r="IF8" i="12"/>
  <c r="C4" i="15"/>
  <c r="C34" i="14"/>
  <c r="C7" i="14"/>
  <c r="BQ1" i="12"/>
  <c r="C7" i="15" l="1"/>
  <c r="C35" i="14"/>
  <c r="C31" i="14"/>
  <c r="C25" i="14"/>
  <c r="C19" i="14"/>
  <c r="C13" i="14"/>
  <c r="C28" i="14"/>
  <c r="C22" i="14"/>
  <c r="C16" i="14"/>
  <c r="C10" i="14"/>
  <c r="BR1" i="12"/>
  <c r="C10" i="15" l="1"/>
  <c r="C36" i="14"/>
  <c r="C16" i="15"/>
  <c r="C38" i="14"/>
  <c r="C22" i="15"/>
  <c r="C40" i="14"/>
  <c r="C28" i="15"/>
  <c r="C42" i="14"/>
  <c r="C13" i="15"/>
  <c r="C37" i="14"/>
  <c r="C19" i="15"/>
  <c r="C39" i="14"/>
  <c r="C25" i="15"/>
  <c r="C41" i="14"/>
  <c r="C31" i="15"/>
  <c r="C43" i="14"/>
  <c r="BS1" i="12"/>
  <c r="BT1" i="12" l="1"/>
  <c r="BU1" i="12" l="1"/>
  <c r="BV1" i="12" l="1"/>
  <c r="BW1" i="12" l="1"/>
  <c r="BX1" i="12" l="1"/>
  <c r="BY1" i="12" l="1"/>
  <c r="BZ1" i="12" l="1"/>
  <c r="CA1" i="12" l="1"/>
  <c r="CB1" i="12" l="1"/>
  <c r="CC1" i="12" l="1"/>
  <c r="CD1" i="12" l="1"/>
  <c r="CE1" i="12" l="1"/>
  <c r="CF1" i="12" l="1"/>
  <c r="CG1" i="12" l="1"/>
  <c r="CH1" i="12" l="1"/>
  <c r="CI1" i="12" l="1"/>
  <c r="CJ1" i="12" l="1"/>
  <c r="C2" i="9"/>
  <c r="S5" i="9"/>
  <c r="R8" i="9"/>
  <c r="G10" i="9"/>
  <c r="H10" i="9"/>
  <c r="I10" i="9" s="1"/>
  <c r="G12" i="9"/>
  <c r="H12" i="9"/>
  <c r="I12" i="9" s="1"/>
  <c r="J12" i="9" s="1"/>
  <c r="F13" i="9"/>
  <c r="G15" i="9"/>
  <c r="H15" i="9" s="1"/>
  <c r="I15" i="9" s="1"/>
  <c r="J15" i="9" s="1"/>
  <c r="K15" i="9" s="1"/>
  <c r="L15" i="9" s="1"/>
  <c r="M15" i="9" s="1"/>
  <c r="N15" i="9" s="1"/>
  <c r="O15" i="9" s="1"/>
  <c r="P15" i="9" s="1"/>
  <c r="Q15" i="9" s="1"/>
  <c r="R15" i="9" s="1"/>
  <c r="S15" i="9" s="1"/>
  <c r="T15" i="9" s="1"/>
  <c r="U15" i="9" s="1"/>
  <c r="V15" i="9" s="1"/>
  <c r="W15" i="9" s="1"/>
  <c r="X15" i="9" s="1"/>
  <c r="Y15" i="9" s="1"/>
  <c r="Z15" i="9" s="1"/>
  <c r="AA15" i="9" s="1"/>
  <c r="AB15" i="9" s="1"/>
  <c r="AC15" i="9" s="1"/>
  <c r="AD15" i="9" s="1"/>
  <c r="AE15" i="9" s="1"/>
  <c r="AF15" i="9" s="1"/>
  <c r="AG15" i="9" s="1"/>
  <c r="AH15" i="9" s="1"/>
  <c r="AI15" i="9" s="1"/>
  <c r="AJ15" i="9" s="1"/>
  <c r="AK15" i="9" s="1"/>
  <c r="AL15" i="9" s="1"/>
  <c r="AM15" i="9" s="1"/>
  <c r="AN15" i="9" s="1"/>
  <c r="AO15" i="9" s="1"/>
  <c r="AP15" i="9" s="1"/>
  <c r="AQ15" i="9" s="1"/>
  <c r="AR15" i="9" s="1"/>
  <c r="AS15" i="9" s="1"/>
  <c r="AT15" i="9" s="1"/>
  <c r="AU15" i="9" s="1"/>
  <c r="AV15" i="9" s="1"/>
  <c r="AW15" i="9" s="1"/>
  <c r="AX15" i="9" s="1"/>
  <c r="AY15" i="9" s="1"/>
  <c r="AZ15" i="9" s="1"/>
  <c r="BA15" i="9" s="1"/>
  <c r="BB15" i="9" s="1"/>
  <c r="BC15" i="9" s="1"/>
  <c r="BD15" i="9" s="1"/>
  <c r="BE15" i="9" s="1"/>
  <c r="BF15" i="9" s="1"/>
  <c r="G16" i="9"/>
  <c r="G13" i="9" s="1"/>
  <c r="H16" i="9"/>
  <c r="H13" i="9" s="1"/>
  <c r="H52" i="9" s="1"/>
  <c r="H21" i="9"/>
  <c r="I21" i="9"/>
  <c r="F51" i="9"/>
  <c r="G52" i="9"/>
  <c r="H56" i="9"/>
  <c r="E3" i="6"/>
  <c r="F3" i="6"/>
  <c r="H3" i="6"/>
  <c r="B3" i="6" s="1"/>
  <c r="B8" i="6"/>
  <c r="C8" i="6"/>
  <c r="D8" i="6"/>
  <c r="C19" i="6"/>
  <c r="C20" i="6"/>
  <c r="D23" i="6" s="1"/>
  <c r="F17" i="5"/>
  <c r="E17" i="5" s="1"/>
  <c r="F18" i="5"/>
  <c r="E18" i="5" s="1"/>
  <c r="F19" i="5"/>
  <c r="E19" i="5" s="1"/>
  <c r="F20" i="5"/>
  <c r="E20" i="5" s="1"/>
  <c r="F21" i="5"/>
  <c r="E21" i="5" s="1"/>
  <c r="F22" i="5"/>
  <c r="E22" i="5" s="1"/>
  <c r="F23" i="5"/>
  <c r="E23" i="5" s="1"/>
  <c r="F24" i="5"/>
  <c r="E24" i="5" s="1"/>
  <c r="F25" i="5"/>
  <c r="E25" i="5" s="1"/>
  <c r="D28" i="5"/>
  <c r="D29" i="5" s="1"/>
  <c r="D34" i="5" s="1"/>
  <c r="D30" i="5"/>
  <c r="D43" i="5"/>
  <c r="D45" i="5" s="1"/>
  <c r="D46" i="5" s="1"/>
  <c r="D47" i="5"/>
  <c r="D55" i="5"/>
  <c r="D56" i="5" s="1"/>
  <c r="D57" i="5" s="1"/>
  <c r="D60" i="5"/>
  <c r="D61" i="5" s="1"/>
  <c r="D64" i="5"/>
  <c r="D65" i="5" s="1"/>
  <c r="A12" i="4"/>
  <c r="B12" i="4"/>
  <c r="C12" i="4"/>
  <c r="D12" i="4"/>
  <c r="B82" i="4"/>
  <c r="C23" i="6" l="1"/>
  <c r="E23" i="6" s="1"/>
  <c r="F20" i="6" s="1"/>
  <c r="M25" i="5"/>
  <c r="G25" i="5"/>
  <c r="H36" i="5"/>
  <c r="G30" i="5"/>
  <c r="H30" i="5" s="1"/>
  <c r="G34" i="5"/>
  <c r="H34" i="5" s="1"/>
  <c r="M23" i="5"/>
  <c r="H26" i="5"/>
  <c r="B3" i="13" s="1"/>
  <c r="B4" i="13" s="1"/>
  <c r="B41" i="13" s="1"/>
  <c r="B39" i="13" s="1"/>
  <c r="G32" i="5"/>
  <c r="H32" i="5" s="1"/>
  <c r="M21" i="5"/>
  <c r="G44" i="5"/>
  <c r="G50" i="5"/>
  <c r="D35" i="5"/>
  <c r="G35" i="5" s="1"/>
  <c r="H35" i="5" s="1"/>
  <c r="D36" i="5"/>
  <c r="D37" i="5" s="1"/>
  <c r="D38" i="5" s="1"/>
  <c r="G51" i="5" s="1"/>
  <c r="M24" i="5"/>
  <c r="M22" i="5"/>
  <c r="M20" i="5"/>
  <c r="M18" i="5"/>
  <c r="M17" i="5"/>
  <c r="G33" i="5"/>
  <c r="H33" i="5" s="1"/>
  <c r="G31" i="5"/>
  <c r="D31" i="5"/>
  <c r="D32" i="5" s="1"/>
  <c r="B10" i="13" s="1"/>
  <c r="B11" i="13" s="1"/>
  <c r="B12" i="13" s="1"/>
  <c r="CK1" i="12"/>
  <c r="K12" i="9"/>
  <c r="L12" i="9" s="1"/>
  <c r="J10" i="9"/>
  <c r="J21" i="9"/>
  <c r="I16" i="9"/>
  <c r="B83" i="4"/>
  <c r="B84" i="4"/>
  <c r="G23" i="5"/>
  <c r="G22" i="5"/>
  <c r="G21" i="5"/>
  <c r="G20" i="5"/>
  <c r="D51" i="5" s="1"/>
  <c r="C3" i="6"/>
  <c r="J3" i="6"/>
  <c r="G24" i="5"/>
  <c r="I24" i="5" s="1"/>
  <c r="J29" i="5" s="1"/>
  <c r="G18" i="5"/>
  <c r="G29" i="5"/>
  <c r="H29" i="5" s="1"/>
  <c r="H28" i="5"/>
  <c r="G17" i="5"/>
  <c r="G28" i="5"/>
  <c r="H31" i="5"/>
  <c r="M19" i="5"/>
  <c r="M26" i="5" l="1"/>
  <c r="G60" i="5" s="1"/>
  <c r="L11" i="12"/>
  <c r="O11" i="12"/>
  <c r="IC11" i="12"/>
  <c r="HU11" i="12"/>
  <c r="HM11" i="12"/>
  <c r="HE11" i="12"/>
  <c r="GW11" i="12"/>
  <c r="GO11" i="12"/>
  <c r="GG11" i="12"/>
  <c r="FY11" i="12"/>
  <c r="FQ11" i="12"/>
  <c r="FI11" i="12"/>
  <c r="FA11" i="12"/>
  <c r="ES11" i="12"/>
  <c r="EK11" i="12"/>
  <c r="EC11" i="12"/>
  <c r="DU11" i="12"/>
  <c r="DM11" i="12"/>
  <c r="DE11" i="12"/>
  <c r="CW11" i="12"/>
  <c r="CO11" i="12"/>
  <c r="CG11" i="12"/>
  <c r="BY11" i="12"/>
  <c r="BQ11" i="12"/>
  <c r="BI11" i="12"/>
  <c r="G11" i="12"/>
  <c r="Q11" i="12"/>
  <c r="IE11" i="12"/>
  <c r="HW11" i="12"/>
  <c r="HO11" i="12"/>
  <c r="HG11" i="12"/>
  <c r="GY11" i="12"/>
  <c r="GQ11" i="12"/>
  <c r="GI11" i="12"/>
  <c r="GA11" i="12"/>
  <c r="FS11" i="12"/>
  <c r="FK11" i="12"/>
  <c r="FC11" i="12"/>
  <c r="EU11" i="12"/>
  <c r="EM11" i="12"/>
  <c r="EE11" i="12"/>
  <c r="DW11" i="12"/>
  <c r="DO11" i="12"/>
  <c r="DG11" i="12"/>
  <c r="CY11" i="12"/>
  <c r="CQ11" i="12"/>
  <c r="CI11" i="12"/>
  <c r="CA11" i="12"/>
  <c r="BS11" i="12"/>
  <c r="BK11" i="12"/>
  <c r="BE11" i="12"/>
  <c r="BA11" i="12"/>
  <c r="AW11" i="12"/>
  <c r="AS11" i="12"/>
  <c r="AO11" i="12"/>
  <c r="AK11" i="12"/>
  <c r="AG11" i="12"/>
  <c r="AC11" i="12"/>
  <c r="Y11" i="12"/>
  <c r="U11" i="12"/>
  <c r="D11" i="12"/>
  <c r="D38" i="12" s="1"/>
  <c r="D40" i="12" s="1"/>
  <c r="K11" i="12"/>
  <c r="R11" i="12"/>
  <c r="N11" i="12"/>
  <c r="IF11" i="12"/>
  <c r="IB11" i="12"/>
  <c r="HX11" i="12"/>
  <c r="HT11" i="12"/>
  <c r="HP11" i="12"/>
  <c r="HL11" i="12"/>
  <c r="HH11" i="12"/>
  <c r="HD11" i="12"/>
  <c r="GZ11" i="12"/>
  <c r="GV11" i="12"/>
  <c r="GR11" i="12"/>
  <c r="GN11" i="12"/>
  <c r="GJ11" i="12"/>
  <c r="GF11" i="12"/>
  <c r="GB11" i="12"/>
  <c r="FX11" i="12"/>
  <c r="FT11" i="12"/>
  <c r="FP11" i="12"/>
  <c r="FL11" i="12"/>
  <c r="FH11" i="12"/>
  <c r="FD11" i="12"/>
  <c r="EZ11" i="12"/>
  <c r="EV11" i="12"/>
  <c r="ER11" i="12"/>
  <c r="EN11" i="12"/>
  <c r="EJ11" i="12"/>
  <c r="EF11" i="12"/>
  <c r="EB11" i="12"/>
  <c r="DX11" i="12"/>
  <c r="DT11" i="12"/>
  <c r="DP11" i="12"/>
  <c r="DL11" i="12"/>
  <c r="DH11" i="12"/>
  <c r="DD11" i="12"/>
  <c r="CZ11" i="12"/>
  <c r="CV11" i="12"/>
  <c r="CR11" i="12"/>
  <c r="CN11" i="12"/>
  <c r="CJ11" i="12"/>
  <c r="CF11" i="12"/>
  <c r="CB11" i="12"/>
  <c r="BX11" i="12"/>
  <c r="BT11" i="12"/>
  <c r="BP11" i="12"/>
  <c r="BL11" i="12"/>
  <c r="BH11" i="12"/>
  <c r="BD11" i="12"/>
  <c r="AZ11" i="12"/>
  <c r="AV11" i="12"/>
  <c r="AR11" i="12"/>
  <c r="AN11" i="12"/>
  <c r="AJ11" i="12"/>
  <c r="AF11" i="12"/>
  <c r="AB11" i="12"/>
  <c r="X11" i="12"/>
  <c r="E11" i="12"/>
  <c r="S11" i="12"/>
  <c r="IG11" i="12"/>
  <c r="HY11" i="12"/>
  <c r="HQ11" i="12"/>
  <c r="HI11" i="12"/>
  <c r="HA11" i="12"/>
  <c r="GS11" i="12"/>
  <c r="GK11" i="12"/>
  <c r="GC11" i="12"/>
  <c r="FU11" i="12"/>
  <c r="FM11" i="12"/>
  <c r="FE11" i="12"/>
  <c r="EW11" i="12"/>
  <c r="EO11" i="12"/>
  <c r="EG11" i="12"/>
  <c r="DY11" i="12"/>
  <c r="DQ11" i="12"/>
  <c r="DI11" i="12"/>
  <c r="DA11" i="12"/>
  <c r="CS11" i="12"/>
  <c r="CK11" i="12"/>
  <c r="CC11" i="12"/>
  <c r="BU11" i="12"/>
  <c r="BM11" i="12"/>
  <c r="C11" i="12"/>
  <c r="C38" i="12" s="1"/>
  <c r="C40" i="12" s="1"/>
  <c r="J11" i="12"/>
  <c r="M11" i="12"/>
  <c r="IA11" i="12"/>
  <c r="HS11" i="12"/>
  <c r="HK11" i="12"/>
  <c r="HC11" i="12"/>
  <c r="GU11" i="12"/>
  <c r="GM11" i="12"/>
  <c r="GE11" i="12"/>
  <c r="FW11" i="12"/>
  <c r="FO11" i="12"/>
  <c r="FG11" i="12"/>
  <c r="EY11" i="12"/>
  <c r="EQ11" i="12"/>
  <c r="EI11" i="12"/>
  <c r="EA11" i="12"/>
  <c r="DS11" i="12"/>
  <c r="DK11" i="12"/>
  <c r="DC11" i="12"/>
  <c r="CU11" i="12"/>
  <c r="CM11" i="12"/>
  <c r="CE11" i="12"/>
  <c r="BW11" i="12"/>
  <c r="BO11" i="12"/>
  <c r="BG11" i="12"/>
  <c r="BC11" i="12"/>
  <c r="AY11" i="12"/>
  <c r="AU11" i="12"/>
  <c r="AQ11" i="12"/>
  <c r="AM11" i="12"/>
  <c r="AI11" i="12"/>
  <c r="AE11" i="12"/>
  <c r="AA11" i="12"/>
  <c r="W11" i="12"/>
  <c r="F11" i="12"/>
  <c r="H11" i="12"/>
  <c r="I11" i="12"/>
  <c r="P11" i="12"/>
  <c r="T11" i="12"/>
  <c r="ID11" i="12"/>
  <c r="HZ11" i="12"/>
  <c r="HV11" i="12"/>
  <c r="HR11" i="12"/>
  <c r="HN11" i="12"/>
  <c r="HJ11" i="12"/>
  <c r="HF11" i="12"/>
  <c r="HB11" i="12"/>
  <c r="GX11" i="12"/>
  <c r="GT11" i="12"/>
  <c r="GP11" i="12"/>
  <c r="GL11" i="12"/>
  <c r="GH11" i="12"/>
  <c r="GD11" i="12"/>
  <c r="FZ11" i="12"/>
  <c r="FV11" i="12"/>
  <c r="FR11" i="12"/>
  <c r="FN11" i="12"/>
  <c r="FJ11" i="12"/>
  <c r="FF11" i="12"/>
  <c r="FB11" i="12"/>
  <c r="EX11" i="12"/>
  <c r="ET11" i="12"/>
  <c r="EP11" i="12"/>
  <c r="EL11" i="12"/>
  <c r="EH11" i="12"/>
  <c r="ED11" i="12"/>
  <c r="DZ11" i="12"/>
  <c r="DV11" i="12"/>
  <c r="DR11" i="12"/>
  <c r="DN11" i="12"/>
  <c r="DJ11" i="12"/>
  <c r="DF11" i="12"/>
  <c r="DB11" i="12"/>
  <c r="CX11" i="12"/>
  <c r="CT11" i="12"/>
  <c r="CP11" i="12"/>
  <c r="CL11" i="12"/>
  <c r="CH11" i="12"/>
  <c r="CD11" i="12"/>
  <c r="BZ11" i="12"/>
  <c r="BV11" i="12"/>
  <c r="BR11" i="12"/>
  <c r="BN11" i="12"/>
  <c r="BJ11" i="12"/>
  <c r="BF11" i="12"/>
  <c r="BB11" i="12"/>
  <c r="AX11" i="12"/>
  <c r="AT11" i="12"/>
  <c r="AP11" i="12"/>
  <c r="AL11" i="12"/>
  <c r="AH11" i="12"/>
  <c r="AD11" i="12"/>
  <c r="Z11" i="12"/>
  <c r="V11" i="12"/>
  <c r="GU9" i="12"/>
  <c r="BW9" i="12"/>
  <c r="BW37" i="12" s="1"/>
  <c r="EI9" i="12"/>
  <c r="GV9" i="12"/>
  <c r="GV37" i="12" s="1"/>
  <c r="BX9" i="12"/>
  <c r="FE9" i="12"/>
  <c r="FE37" i="12" s="1"/>
  <c r="AG9" i="12"/>
  <c r="AG10" i="12" s="1"/>
  <c r="AH9" i="12"/>
  <c r="AH10" i="12" s="1"/>
  <c r="GZ9" i="12"/>
  <c r="IA9" i="12"/>
  <c r="IA37" i="12" s="1"/>
  <c r="FO9" i="12"/>
  <c r="DC9" i="12"/>
  <c r="DC37" i="12" s="1"/>
  <c r="AQ9" i="12"/>
  <c r="AQ10" i="12" s="1"/>
  <c r="EJ9" i="12"/>
  <c r="EJ37" i="12" s="1"/>
  <c r="HQ9" i="12"/>
  <c r="CS9" i="12"/>
  <c r="CS37" i="12" s="1"/>
  <c r="FF9" i="12"/>
  <c r="DO9" i="12"/>
  <c r="DO37" i="12" s="1"/>
  <c r="CB9" i="12"/>
  <c r="HK9" i="12"/>
  <c r="HK37" i="12" s="1"/>
  <c r="GE9" i="12"/>
  <c r="GE37" i="12" s="1"/>
  <c r="EY9" i="12"/>
  <c r="EY37" i="12" s="1"/>
  <c r="DS9" i="12"/>
  <c r="CM9" i="12"/>
  <c r="CM37" i="12" s="1"/>
  <c r="BG9" i="12"/>
  <c r="BG10" i="12" s="1"/>
  <c r="IB9" i="12"/>
  <c r="IB37" i="12" s="1"/>
  <c r="FP9" i="12"/>
  <c r="DD9" i="12"/>
  <c r="DD37" i="12" s="1"/>
  <c r="AR9" i="12"/>
  <c r="AR10" i="12" s="1"/>
  <c r="GK9" i="12"/>
  <c r="GK37" i="12" s="1"/>
  <c r="DY9" i="12"/>
  <c r="BM9" i="12"/>
  <c r="BM37" i="12" s="1"/>
  <c r="HB9" i="12"/>
  <c r="CT9" i="12"/>
  <c r="CT37" i="12" s="1"/>
  <c r="GA9" i="12"/>
  <c r="BC9" i="12"/>
  <c r="BC10" i="12" s="1"/>
  <c r="EN9" i="12"/>
  <c r="HU9" i="12"/>
  <c r="HU37" i="12" s="1"/>
  <c r="HL9" i="12"/>
  <c r="HL12" i="12" s="1"/>
  <c r="GF9" i="12"/>
  <c r="GF37" i="12" s="1"/>
  <c r="EZ9" i="12"/>
  <c r="DT9" i="12"/>
  <c r="DT37" i="12" s="1"/>
  <c r="CN9" i="12"/>
  <c r="CN24" i="12" s="1"/>
  <c r="BH9" i="12"/>
  <c r="BH10" i="12" s="1"/>
  <c r="IG9" i="12"/>
  <c r="HA9" i="12"/>
  <c r="HA37" i="12" s="1"/>
  <c r="FU9" i="12"/>
  <c r="EO9" i="12"/>
  <c r="EO37" i="12" s="1"/>
  <c r="DI9" i="12"/>
  <c r="DI12" i="12" s="1"/>
  <c r="CC9" i="12"/>
  <c r="CC37" i="12" s="1"/>
  <c r="AW9" i="12"/>
  <c r="AW10" i="12" s="1"/>
  <c r="HR9" i="12"/>
  <c r="HR37" i="12" s="1"/>
  <c r="GL9" i="12"/>
  <c r="DZ9" i="12"/>
  <c r="DZ37" i="12" s="1"/>
  <c r="BN9" i="12"/>
  <c r="HG9" i="12"/>
  <c r="HG37" i="12" s="1"/>
  <c r="EU9" i="12"/>
  <c r="EU24" i="12" s="1"/>
  <c r="CI9" i="12"/>
  <c r="CI37" i="12" s="1"/>
  <c r="IF9" i="12"/>
  <c r="FT9" i="12"/>
  <c r="FT37" i="12" s="1"/>
  <c r="DH9" i="12"/>
  <c r="AV9" i="12"/>
  <c r="AV10" i="12" s="1"/>
  <c r="FI9" i="12"/>
  <c r="GO9" i="12"/>
  <c r="GO37" i="12" s="1"/>
  <c r="DU9" i="12"/>
  <c r="FV9" i="12"/>
  <c r="FV37" i="12" s="1"/>
  <c r="EP9" i="12"/>
  <c r="DJ9" i="12"/>
  <c r="DJ37" i="12" s="1"/>
  <c r="CD9" i="12"/>
  <c r="AX9" i="12"/>
  <c r="AX10" i="12" s="1"/>
  <c r="HW9" i="12"/>
  <c r="GQ9" i="12"/>
  <c r="GQ37" i="12" s="1"/>
  <c r="FK9" i="12"/>
  <c r="FK24" i="12" s="1"/>
  <c r="EE9" i="12"/>
  <c r="EE37" i="12" s="1"/>
  <c r="CY9" i="12"/>
  <c r="CY24" i="12" s="1"/>
  <c r="BS9" i="12"/>
  <c r="BS37" i="12" s="1"/>
  <c r="AM9" i="12"/>
  <c r="AM10" i="12" s="1"/>
  <c r="HP9" i="12"/>
  <c r="HP37" i="12" s="1"/>
  <c r="GJ9" i="12"/>
  <c r="FD9" i="12"/>
  <c r="FD37" i="12" s="1"/>
  <c r="DX9" i="12"/>
  <c r="CR9" i="12"/>
  <c r="CR37" i="12" s="1"/>
  <c r="BL9" i="12"/>
  <c r="BL10" i="12" s="1"/>
  <c r="AF9" i="12"/>
  <c r="AF10" i="12" s="1"/>
  <c r="HE9" i="12"/>
  <c r="FY9" i="12"/>
  <c r="FY37" i="12" s="1"/>
  <c r="ES9" i="12"/>
  <c r="ES24" i="12" s="1"/>
  <c r="CO9" i="12"/>
  <c r="CO37" i="12" s="1"/>
  <c r="BI9" i="12"/>
  <c r="BI10" i="12" s="1"/>
  <c r="AC9" i="12"/>
  <c r="AC10" i="12" s="1"/>
  <c r="ET9" i="12"/>
  <c r="HF9" i="12"/>
  <c r="HF37" i="12" s="1"/>
  <c r="CH9" i="12"/>
  <c r="FZ9" i="12"/>
  <c r="FZ37" i="12" s="1"/>
  <c r="DN9" i="12"/>
  <c r="U9" i="12"/>
  <c r="U10" i="12" s="1"/>
  <c r="D52" i="5"/>
  <c r="AA9" i="12"/>
  <c r="BB9" i="12"/>
  <c r="BB10" i="12" s="1"/>
  <c r="V9" i="12"/>
  <c r="V10" i="12" s="1"/>
  <c r="M9" i="12"/>
  <c r="M10" i="12" s="1"/>
  <c r="J9" i="12"/>
  <c r="J10" i="12" s="1"/>
  <c r="G9" i="12"/>
  <c r="G10" i="12" s="1"/>
  <c r="HS9" i="12"/>
  <c r="HC9" i="12"/>
  <c r="GM9" i="12"/>
  <c r="FW9" i="12"/>
  <c r="FW37" i="12" s="1"/>
  <c r="FG9" i="12"/>
  <c r="FG37" i="12" s="1"/>
  <c r="EQ9" i="12"/>
  <c r="EQ37" i="12" s="1"/>
  <c r="EA9" i="12"/>
  <c r="EA37" i="12" s="1"/>
  <c r="DK9" i="12"/>
  <c r="DK10" i="12" s="1"/>
  <c r="DK38" i="12" s="1"/>
  <c r="CU9" i="12"/>
  <c r="CU37" i="12" s="1"/>
  <c r="CE9" i="12"/>
  <c r="CE37" i="12" s="1"/>
  <c r="BO9" i="12"/>
  <c r="BO37" i="12" s="1"/>
  <c r="AY9" i="12"/>
  <c r="AY10" i="12" s="1"/>
  <c r="AI9" i="12"/>
  <c r="AI10" i="12" s="1"/>
  <c r="HT9" i="12"/>
  <c r="HT12" i="12" s="1"/>
  <c r="HD9" i="12"/>
  <c r="HD37" i="12" s="1"/>
  <c r="GN9" i="12"/>
  <c r="GN37" i="12" s="1"/>
  <c r="FX9" i="12"/>
  <c r="FX37" i="12" s="1"/>
  <c r="FH9" i="12"/>
  <c r="ER9" i="12"/>
  <c r="ER37" i="12" s="1"/>
  <c r="EB9" i="12"/>
  <c r="EB37" i="12" s="1"/>
  <c r="DL9" i="12"/>
  <c r="DL37" i="12" s="1"/>
  <c r="CV9" i="12"/>
  <c r="CV24" i="12" s="1"/>
  <c r="CF9" i="12"/>
  <c r="CF37" i="12" s="1"/>
  <c r="BP9" i="12"/>
  <c r="BP37" i="12" s="1"/>
  <c r="AZ9" i="12"/>
  <c r="AZ10" i="12" s="1"/>
  <c r="AJ9" i="12"/>
  <c r="AJ10" i="12" s="1"/>
  <c r="HY9" i="12"/>
  <c r="HY37" i="12" s="1"/>
  <c r="HI9" i="12"/>
  <c r="GS9" i="12"/>
  <c r="GS12" i="12" s="1"/>
  <c r="GC9" i="12"/>
  <c r="FM9" i="12"/>
  <c r="FM37" i="12" s="1"/>
  <c r="EW9" i="12"/>
  <c r="EW12" i="12" s="1"/>
  <c r="EG9" i="12"/>
  <c r="EG37" i="12" s="1"/>
  <c r="DQ9" i="12"/>
  <c r="DQ37" i="12" s="1"/>
  <c r="DA9" i="12"/>
  <c r="CK9" i="12"/>
  <c r="BU9" i="12"/>
  <c r="BE9" i="12"/>
  <c r="BE10" i="12" s="1"/>
  <c r="AO9" i="12"/>
  <c r="AO10" i="12" s="1"/>
  <c r="HZ9" i="12"/>
  <c r="HJ9" i="12"/>
  <c r="GT9" i="12"/>
  <c r="GD9" i="12"/>
  <c r="FN9" i="12"/>
  <c r="EX9" i="12"/>
  <c r="EX24" i="12" s="1"/>
  <c r="EH9" i="12"/>
  <c r="DR9" i="12"/>
  <c r="DB9" i="12"/>
  <c r="CL9" i="12"/>
  <c r="CL24" i="12" s="1"/>
  <c r="BV9" i="12"/>
  <c r="BF9" i="12"/>
  <c r="BF10" i="12" s="1"/>
  <c r="AP9" i="12"/>
  <c r="AP10" i="12" s="1"/>
  <c r="IE9" i="12"/>
  <c r="HO9" i="12"/>
  <c r="GY9" i="12"/>
  <c r="GY24" i="12" s="1"/>
  <c r="GI9" i="12"/>
  <c r="GI37" i="12" s="1"/>
  <c r="FS9" i="12"/>
  <c r="FC9" i="12"/>
  <c r="EM9" i="12"/>
  <c r="DW9" i="12"/>
  <c r="DG9" i="12"/>
  <c r="CQ9" i="12"/>
  <c r="CA9" i="12"/>
  <c r="BK9" i="12"/>
  <c r="BK10" i="12" s="1"/>
  <c r="AU9" i="12"/>
  <c r="AU10" i="12" s="1"/>
  <c r="AE9" i="12"/>
  <c r="AE10" i="12" s="1"/>
  <c r="HX9" i="12"/>
  <c r="HH9" i="12"/>
  <c r="GR9" i="12"/>
  <c r="GB9" i="12"/>
  <c r="GB37" i="12" s="1"/>
  <c r="FL9" i="12"/>
  <c r="EV9" i="12"/>
  <c r="EF9" i="12"/>
  <c r="EF12" i="12" s="1"/>
  <c r="DP9" i="12"/>
  <c r="DP37" i="12" s="1"/>
  <c r="CZ9" i="12"/>
  <c r="CJ9" i="12"/>
  <c r="BT9" i="12"/>
  <c r="BT12" i="12" s="1"/>
  <c r="BD9" i="12"/>
  <c r="BD10" i="12" s="1"/>
  <c r="AN9" i="12"/>
  <c r="AN10" i="12" s="1"/>
  <c r="IC9" i="12"/>
  <c r="IC37" i="12" s="1"/>
  <c r="HM9" i="12"/>
  <c r="GW9" i="12"/>
  <c r="GG9" i="12"/>
  <c r="GG12" i="12" s="1"/>
  <c r="FQ9" i="12"/>
  <c r="FA9" i="12"/>
  <c r="EK9" i="12"/>
  <c r="DE9" i="12"/>
  <c r="BY9" i="12"/>
  <c r="BY12" i="12" s="1"/>
  <c r="AS9" i="12"/>
  <c r="AS10" i="12" s="1"/>
  <c r="HV9" i="12"/>
  <c r="HV37" i="12" s="1"/>
  <c r="GP9" i="12"/>
  <c r="GP37" i="12" s="1"/>
  <c r="FJ9" i="12"/>
  <c r="ED9" i="12"/>
  <c r="ED12" i="12" s="1"/>
  <c r="CX9" i="12"/>
  <c r="CX12" i="12" s="1"/>
  <c r="BR9" i="12"/>
  <c r="AL9" i="12"/>
  <c r="AL10" i="12" s="1"/>
  <c r="W9" i="12"/>
  <c r="Y9" i="12"/>
  <c r="Y10" i="12" s="1"/>
  <c r="X9" i="12"/>
  <c r="E9" i="12"/>
  <c r="E10" i="12" s="1"/>
  <c r="O9" i="12"/>
  <c r="O10" i="12" s="1"/>
  <c r="L9" i="12"/>
  <c r="L10" i="12" s="1"/>
  <c r="EC9" i="12"/>
  <c r="EC37" i="12" s="1"/>
  <c r="DM9" i="12"/>
  <c r="CW9" i="12"/>
  <c r="CW10" i="12" s="1"/>
  <c r="CW38" i="12" s="1"/>
  <c r="CG9" i="12"/>
  <c r="BQ9" i="12"/>
  <c r="BA9" i="12"/>
  <c r="BA10" i="12" s="1"/>
  <c r="AK9" i="12"/>
  <c r="AK10" i="12" s="1"/>
  <c r="ID9" i="12"/>
  <c r="HN9" i="12"/>
  <c r="HN12" i="12" s="1"/>
  <c r="GX9" i="12"/>
  <c r="GH9" i="12"/>
  <c r="GH24" i="12" s="1"/>
  <c r="FR9" i="12"/>
  <c r="FB9" i="12"/>
  <c r="FB24" i="12" s="1"/>
  <c r="EL9" i="12"/>
  <c r="DV9" i="12"/>
  <c r="DF9" i="12"/>
  <c r="DF37" i="12" s="1"/>
  <c r="CP9" i="12"/>
  <c r="BZ9" i="12"/>
  <c r="BJ9" i="12"/>
  <c r="BJ10" i="12" s="1"/>
  <c r="AT9" i="12"/>
  <c r="AT10" i="12" s="1"/>
  <c r="AD9" i="12"/>
  <c r="AD10" i="12" s="1"/>
  <c r="Q9" i="12"/>
  <c r="Q10" i="12" s="1"/>
  <c r="Z9" i="12"/>
  <c r="R9" i="12"/>
  <c r="R10" i="12" s="1"/>
  <c r="S9" i="12"/>
  <c r="S10" i="12" s="1"/>
  <c r="AB9" i="12"/>
  <c r="AB10" i="12" s="1"/>
  <c r="T9" i="12"/>
  <c r="T10" i="12" s="1"/>
  <c r="I9" i="12"/>
  <c r="I10" i="12" s="1"/>
  <c r="N9" i="12"/>
  <c r="N10" i="12" s="1"/>
  <c r="F9" i="12"/>
  <c r="F10" i="12" s="1"/>
  <c r="K9" i="12"/>
  <c r="K10" i="12" s="1"/>
  <c r="P9" i="12"/>
  <c r="P10" i="12" s="1"/>
  <c r="H9" i="12"/>
  <c r="H10" i="12" s="1"/>
  <c r="H24" i="5"/>
  <c r="H25" i="5" s="1"/>
  <c r="J5" i="6" s="1"/>
  <c r="J7" i="6" s="1"/>
  <c r="B63" i="4" s="1"/>
  <c r="CE24" i="12"/>
  <c r="BP12" i="12"/>
  <c r="GR12" i="12"/>
  <c r="GU10" i="12"/>
  <c r="GU38" i="12" s="1"/>
  <c r="GE24" i="12"/>
  <c r="EI12" i="12"/>
  <c r="DS12" i="12"/>
  <c r="FP24" i="12"/>
  <c r="BX10" i="12"/>
  <c r="BX38" i="12" s="1"/>
  <c r="BX12" i="12"/>
  <c r="IG24" i="12"/>
  <c r="HQ24" i="12"/>
  <c r="DY12" i="12"/>
  <c r="HB12" i="12"/>
  <c r="HB24" i="12"/>
  <c r="FF24" i="12"/>
  <c r="GA24" i="12"/>
  <c r="GZ24" i="12"/>
  <c r="EN24" i="12"/>
  <c r="CB24" i="12"/>
  <c r="FI24" i="12"/>
  <c r="D33" i="5"/>
  <c r="D39" i="5" s="1"/>
  <c r="D40" i="5" s="1"/>
  <c r="S6" i="9"/>
  <c r="J30" i="5"/>
  <c r="D48" i="5"/>
  <c r="CL1" i="12"/>
  <c r="I13" i="9"/>
  <c r="J16" i="9"/>
  <c r="M12" i="9"/>
  <c r="K10" i="9"/>
  <c r="K21" i="9"/>
  <c r="K3" i="6"/>
  <c r="J11" i="6"/>
  <c r="G43" i="5"/>
  <c r="G37" i="5"/>
  <c r="H37" i="5"/>
  <c r="GO24" i="12" l="1"/>
  <c r="CI10" i="12"/>
  <c r="CI38" i="12" s="1"/>
  <c r="HG12" i="12"/>
  <c r="CC10" i="12"/>
  <c r="CC38" i="12" s="1"/>
  <c r="EO24" i="12"/>
  <c r="IB10" i="12"/>
  <c r="IB38" i="12" s="1"/>
  <c r="FT10" i="12"/>
  <c r="FT38" i="12" s="1"/>
  <c r="HP24" i="12"/>
  <c r="DZ24" i="12"/>
  <c r="FV24" i="12"/>
  <c r="DT10" i="12"/>
  <c r="DT38" i="12" s="1"/>
  <c r="GF24" i="12"/>
  <c r="FZ24" i="12"/>
  <c r="HU12" i="12"/>
  <c r="CR24" i="12"/>
  <c r="FD24" i="12"/>
  <c r="BS12" i="12"/>
  <c r="DJ12" i="12"/>
  <c r="HR10" i="12"/>
  <c r="HR38" i="12" s="1"/>
  <c r="HA12" i="12"/>
  <c r="GV12" i="12"/>
  <c r="IA10" i="12"/>
  <c r="IA38" i="12" s="1"/>
  <c r="HF10" i="12"/>
  <c r="HF38" i="12" s="1"/>
  <c r="EC12" i="12"/>
  <c r="FY12" i="12"/>
  <c r="GO10" i="12"/>
  <c r="GO38" i="12" s="1"/>
  <c r="FT12" i="12"/>
  <c r="HP10" i="12"/>
  <c r="CI24" i="12"/>
  <c r="EE12" i="12"/>
  <c r="GQ24" i="12"/>
  <c r="HG10" i="12"/>
  <c r="DJ10" i="12"/>
  <c r="DJ38" i="12" s="1"/>
  <c r="HR12" i="12"/>
  <c r="CC24" i="12"/>
  <c r="EO10" i="12"/>
  <c r="EO38" i="12" s="1"/>
  <c r="DT12" i="12"/>
  <c r="DC24" i="12"/>
  <c r="HF12" i="12"/>
  <c r="CO12" i="12"/>
  <c r="DO24" i="12"/>
  <c r="HG38" i="12"/>
  <c r="CS10" i="12"/>
  <c r="CS38" i="12" s="1"/>
  <c r="GK24" i="12"/>
  <c r="DD24" i="12"/>
  <c r="CM10" i="12"/>
  <c r="CM38" i="12" s="1"/>
  <c r="EY12" i="12"/>
  <c r="DQ24" i="12"/>
  <c r="GN12" i="12"/>
  <c r="EQ24" i="12"/>
  <c r="D13" i="12"/>
  <c r="D15" i="12" s="1"/>
  <c r="HP38" i="12"/>
  <c r="DO10" i="12"/>
  <c r="DO38" i="12" s="1"/>
  <c r="CT24" i="12"/>
  <c r="BM24" i="12"/>
  <c r="FE12" i="12"/>
  <c r="GK10" i="12"/>
  <c r="GK38" i="12" s="1"/>
  <c r="EJ24" i="12"/>
  <c r="GV10" i="12"/>
  <c r="GV38" i="12" s="1"/>
  <c r="IB24" i="12"/>
  <c r="BW24" i="12"/>
  <c r="CM12" i="12"/>
  <c r="EY10" i="12"/>
  <c r="EY38" i="12" s="1"/>
  <c r="HK24" i="12"/>
  <c r="IA12" i="12"/>
  <c r="FW10" i="12"/>
  <c r="FW38" i="12" s="1"/>
  <c r="FY24" i="12"/>
  <c r="FY10" i="12"/>
  <c r="FY38" i="12" s="1"/>
  <c r="GO12" i="12"/>
  <c r="HU24" i="12"/>
  <c r="HU10" i="12"/>
  <c r="HU38" i="12" s="1"/>
  <c r="CR12" i="12"/>
  <c r="CR10" i="12"/>
  <c r="CR38" i="12" s="1"/>
  <c r="FD12" i="12"/>
  <c r="FD10" i="12"/>
  <c r="FD38" i="12" s="1"/>
  <c r="FT24" i="12"/>
  <c r="HP12" i="12"/>
  <c r="BS24" i="12"/>
  <c r="BS10" i="12"/>
  <c r="BS38" i="12" s="1"/>
  <c r="BS40" i="12" s="1"/>
  <c r="CI12" i="12"/>
  <c r="DO12" i="12"/>
  <c r="EE24" i="12"/>
  <c r="EE10" i="12"/>
  <c r="EE38" i="12" s="1"/>
  <c r="GQ12" i="12"/>
  <c r="GQ10" i="12"/>
  <c r="GQ38" i="12" s="1"/>
  <c r="HG24" i="12"/>
  <c r="CT12" i="12"/>
  <c r="CT10" i="12"/>
  <c r="CT38" i="12" s="1"/>
  <c r="DJ24" i="12"/>
  <c r="DZ12" i="12"/>
  <c r="DZ10" i="12"/>
  <c r="DZ38" i="12" s="1"/>
  <c r="FV12" i="12"/>
  <c r="FV10" i="12"/>
  <c r="FV38" i="12" s="1"/>
  <c r="HR24" i="12"/>
  <c r="BM12" i="12"/>
  <c r="BM10" i="12"/>
  <c r="BM38" i="12" s="1"/>
  <c r="CC12" i="12"/>
  <c r="CS12" i="12"/>
  <c r="CS24" i="12"/>
  <c r="EO12" i="12"/>
  <c r="FE24" i="12"/>
  <c r="FE10" i="12"/>
  <c r="FE38" i="12" s="1"/>
  <c r="GK12" i="12"/>
  <c r="HA24" i="12"/>
  <c r="HA10" i="12"/>
  <c r="HA38" i="12" s="1"/>
  <c r="DD12" i="12"/>
  <c r="DD10" i="12"/>
  <c r="DD38" i="12" s="1"/>
  <c r="DT24" i="12"/>
  <c r="EJ12" i="12"/>
  <c r="EJ10" i="12"/>
  <c r="EJ38" i="12" s="1"/>
  <c r="GF12" i="12"/>
  <c r="GF10" i="12"/>
  <c r="GF38" i="12" s="1"/>
  <c r="GV24" i="12"/>
  <c r="IB12" i="12"/>
  <c r="BW10" i="12"/>
  <c r="BW38" i="12" s="1"/>
  <c r="BW40" i="12" s="1"/>
  <c r="BW12" i="12"/>
  <c r="CM24" i="12"/>
  <c r="DC10" i="12"/>
  <c r="DC38" i="12" s="1"/>
  <c r="DC12" i="12"/>
  <c r="EY24" i="12"/>
  <c r="HK10" i="12"/>
  <c r="HK38" i="12" s="1"/>
  <c r="HK12" i="12"/>
  <c r="IA24" i="12"/>
  <c r="FZ12" i="12"/>
  <c r="FZ10" i="12"/>
  <c r="FZ38" i="12" s="1"/>
  <c r="HF24" i="12"/>
  <c r="CO24" i="12"/>
  <c r="CO10" i="12"/>
  <c r="CO38" i="12" s="1"/>
  <c r="EG24" i="12"/>
  <c r="CF12" i="12"/>
  <c r="ER12" i="12"/>
  <c r="HD12" i="12"/>
  <c r="BO24" i="12"/>
  <c r="CU24" i="12"/>
  <c r="EA24" i="12"/>
  <c r="FG24" i="12"/>
  <c r="D25" i="12"/>
  <c r="D27" i="12" s="1"/>
  <c r="C25" i="12"/>
  <c r="C27" i="12" s="1"/>
  <c r="C13" i="12"/>
  <c r="C15" i="12" s="1"/>
  <c r="BZ10" i="12"/>
  <c r="BZ38" i="12" s="1"/>
  <c r="BZ40" i="12" s="1"/>
  <c r="BZ37" i="12"/>
  <c r="EL10" i="12"/>
  <c r="EL38" i="12" s="1"/>
  <c r="EL37" i="12"/>
  <c r="FR24" i="12"/>
  <c r="FR37" i="12"/>
  <c r="GX10" i="12"/>
  <c r="GX38" i="12" s="1"/>
  <c r="GX37" i="12"/>
  <c r="ID12" i="12"/>
  <c r="ID37" i="12"/>
  <c r="CG12" i="12"/>
  <c r="CG37" i="12"/>
  <c r="DM10" i="12"/>
  <c r="DM38" i="12" s="1"/>
  <c r="DM37" i="12"/>
  <c r="CX24" i="12"/>
  <c r="CX37" i="12"/>
  <c r="FJ10" i="12"/>
  <c r="FJ38" i="12" s="1"/>
  <c r="FJ37" i="12"/>
  <c r="BY24" i="12"/>
  <c r="BY37" i="12"/>
  <c r="EK10" i="12"/>
  <c r="EK38" i="12" s="1"/>
  <c r="EK37" i="12"/>
  <c r="FQ12" i="12"/>
  <c r="FQ37" i="12"/>
  <c r="GW10" i="12"/>
  <c r="GW38" i="12" s="1"/>
  <c r="GW37" i="12"/>
  <c r="CJ10" i="12"/>
  <c r="CJ25" i="12" s="1"/>
  <c r="CJ27" i="12" s="1"/>
  <c r="CJ37" i="12"/>
  <c r="EV10" i="12"/>
  <c r="EV38" i="12" s="1"/>
  <c r="EV37" i="12"/>
  <c r="HH10" i="12"/>
  <c r="HH38" i="12" s="1"/>
  <c r="HH37" i="12"/>
  <c r="CQ12" i="12"/>
  <c r="CQ37" i="12"/>
  <c r="DW24" i="12"/>
  <c r="DW37" i="12"/>
  <c r="FC12" i="12"/>
  <c r="FC37" i="12"/>
  <c r="HO12" i="12"/>
  <c r="HO37" i="12"/>
  <c r="BV12" i="12"/>
  <c r="BV37" i="12"/>
  <c r="DB10" i="12"/>
  <c r="DB38" i="12" s="1"/>
  <c r="DB37" i="12"/>
  <c r="EH12" i="12"/>
  <c r="EH37" i="12"/>
  <c r="FN10" i="12"/>
  <c r="FN38" i="12" s="1"/>
  <c r="FN37" i="12"/>
  <c r="GT10" i="12"/>
  <c r="GT38" i="12" s="1"/>
  <c r="GT37" i="12"/>
  <c r="HZ12" i="12"/>
  <c r="HZ37" i="12"/>
  <c r="CK10" i="12"/>
  <c r="CK38" i="12" s="1"/>
  <c r="CK40" i="12" s="1"/>
  <c r="CK37" i="12"/>
  <c r="EW24" i="12"/>
  <c r="EW37" i="12"/>
  <c r="GC24" i="12"/>
  <c r="GC37" i="12"/>
  <c r="HI12" i="12"/>
  <c r="HI37" i="12"/>
  <c r="CV12" i="12"/>
  <c r="CV37" i="12"/>
  <c r="FH12" i="12"/>
  <c r="FH37" i="12"/>
  <c r="HT24" i="12"/>
  <c r="HT37" i="12"/>
  <c r="DK24" i="12"/>
  <c r="DK37" i="12"/>
  <c r="HC24" i="12"/>
  <c r="HC37" i="12"/>
  <c r="DN10" i="12"/>
  <c r="DN38" i="12" s="1"/>
  <c r="DN37" i="12"/>
  <c r="CH10" i="12"/>
  <c r="CH38" i="12" s="1"/>
  <c r="CH40" i="12" s="1"/>
  <c r="CH37" i="12"/>
  <c r="ET24" i="12"/>
  <c r="ET37" i="12"/>
  <c r="ES10" i="12"/>
  <c r="ES38" i="12" s="1"/>
  <c r="ES37" i="12"/>
  <c r="HE10" i="12"/>
  <c r="HE38" i="12" s="1"/>
  <c r="HE37" i="12"/>
  <c r="DX10" i="12"/>
  <c r="DX38" i="12" s="1"/>
  <c r="DX37" i="12"/>
  <c r="GJ10" i="12"/>
  <c r="GJ38" i="12" s="1"/>
  <c r="GJ37" i="12"/>
  <c r="CY10" i="12"/>
  <c r="CY38" i="12" s="1"/>
  <c r="CY37" i="12"/>
  <c r="FK10" i="12"/>
  <c r="FK38" i="12" s="1"/>
  <c r="FK37" i="12"/>
  <c r="HW10" i="12"/>
  <c r="HW38" i="12" s="1"/>
  <c r="HW37" i="12"/>
  <c r="CD10" i="12"/>
  <c r="CD38" i="12" s="1"/>
  <c r="CD40" i="12" s="1"/>
  <c r="CD37" i="12"/>
  <c r="EP10" i="12"/>
  <c r="EP38" i="12" s="1"/>
  <c r="EP37" i="12"/>
  <c r="DU10" i="12"/>
  <c r="DU38" i="12" s="1"/>
  <c r="DU37" i="12"/>
  <c r="FI10" i="12"/>
  <c r="FI38" i="12" s="1"/>
  <c r="FI37" i="12"/>
  <c r="DH10" i="12"/>
  <c r="DH38" i="12" s="1"/>
  <c r="DH37" i="12"/>
  <c r="IF10" i="12"/>
  <c r="IF38" i="12" s="1"/>
  <c r="IF37" i="12"/>
  <c r="EU10" i="12"/>
  <c r="EU38" i="12" s="1"/>
  <c r="EU37" i="12"/>
  <c r="BN10" i="12"/>
  <c r="BN38" i="12" s="1"/>
  <c r="BN40" i="12" s="1"/>
  <c r="BN37" i="12"/>
  <c r="GL10" i="12"/>
  <c r="GL38" i="12" s="1"/>
  <c r="GL37" i="12"/>
  <c r="DI10" i="12"/>
  <c r="DI38" i="12" s="1"/>
  <c r="DI37" i="12"/>
  <c r="FU10" i="12"/>
  <c r="FU38" i="12" s="1"/>
  <c r="FU37" i="12"/>
  <c r="IG10" i="12"/>
  <c r="IG38" i="12" s="1"/>
  <c r="IG37" i="12"/>
  <c r="CN10" i="12"/>
  <c r="CN37" i="12"/>
  <c r="EZ10" i="12"/>
  <c r="EZ38" i="12" s="1"/>
  <c r="EZ37" i="12"/>
  <c r="HL10" i="12"/>
  <c r="HL38" i="12" s="1"/>
  <c r="HL37" i="12"/>
  <c r="EN10" i="12"/>
  <c r="EN38" i="12" s="1"/>
  <c r="EN37" i="12"/>
  <c r="GA10" i="12"/>
  <c r="GA38" i="12" s="1"/>
  <c r="GA37" i="12"/>
  <c r="HB10" i="12"/>
  <c r="HB38" i="12" s="1"/>
  <c r="HB37" i="12"/>
  <c r="DY10" i="12"/>
  <c r="DY38" i="12" s="1"/>
  <c r="DY37" i="12"/>
  <c r="FP10" i="12"/>
  <c r="FP38" i="12" s="1"/>
  <c r="FP37" i="12"/>
  <c r="DS24" i="12"/>
  <c r="DS37" i="12"/>
  <c r="CB10" i="12"/>
  <c r="CB37" i="12"/>
  <c r="FF10" i="12"/>
  <c r="FF38" i="12" s="1"/>
  <c r="FF37" i="12"/>
  <c r="HQ10" i="12"/>
  <c r="HQ38" i="12" s="1"/>
  <c r="HQ37" i="12"/>
  <c r="FO24" i="12"/>
  <c r="FO37" i="12"/>
  <c r="GZ10" i="12"/>
  <c r="GZ38" i="12" s="1"/>
  <c r="GZ37" i="12"/>
  <c r="BX24" i="12"/>
  <c r="BX37" i="12"/>
  <c r="EI24" i="12"/>
  <c r="EI37" i="12"/>
  <c r="GU12" i="12"/>
  <c r="GU37" i="12"/>
  <c r="G45" i="5"/>
  <c r="H45" i="5" s="1"/>
  <c r="I45" i="5" s="1"/>
  <c r="G69" i="5" s="1"/>
  <c r="CP10" i="12"/>
  <c r="CP38" i="12" s="1"/>
  <c r="CP37" i="12"/>
  <c r="DV10" i="12"/>
  <c r="DV38" i="12" s="1"/>
  <c r="DV37" i="12"/>
  <c r="FB10" i="12"/>
  <c r="FB38" i="12" s="1"/>
  <c r="FB37" i="12"/>
  <c r="GH10" i="12"/>
  <c r="GH38" i="12" s="1"/>
  <c r="GH37" i="12"/>
  <c r="HN10" i="12"/>
  <c r="HN38" i="12" s="1"/>
  <c r="HN37" i="12"/>
  <c r="BQ10" i="12"/>
  <c r="BQ38" i="12" s="1"/>
  <c r="BQ40" i="12" s="1"/>
  <c r="BQ37" i="12"/>
  <c r="CW24" i="12"/>
  <c r="CW37" i="12"/>
  <c r="BR24" i="12"/>
  <c r="BR37" i="12"/>
  <c r="ED24" i="12"/>
  <c r="ED37" i="12"/>
  <c r="DE10" i="12"/>
  <c r="DE38" i="12" s="1"/>
  <c r="DE37" i="12"/>
  <c r="FA10" i="12"/>
  <c r="FA38" i="12" s="1"/>
  <c r="FA37" i="12"/>
  <c r="GG10" i="12"/>
  <c r="GG38" i="12" s="1"/>
  <c r="GG37" i="12"/>
  <c r="HM10" i="12"/>
  <c r="HM38" i="12" s="1"/>
  <c r="HM37" i="12"/>
  <c r="BT10" i="12"/>
  <c r="BT25" i="12" s="1"/>
  <c r="BT27" i="12" s="1"/>
  <c r="BT37" i="12"/>
  <c r="CZ10" i="12"/>
  <c r="CZ38" i="12" s="1"/>
  <c r="CZ37" i="12"/>
  <c r="EF10" i="12"/>
  <c r="EF38" i="12" s="1"/>
  <c r="EF37" i="12"/>
  <c r="FL10" i="12"/>
  <c r="FL38" i="12" s="1"/>
  <c r="FL37" i="12"/>
  <c r="GR10" i="12"/>
  <c r="GR38" i="12" s="1"/>
  <c r="GR37" i="12"/>
  <c r="HX10" i="12"/>
  <c r="HX38" i="12" s="1"/>
  <c r="HX37" i="12"/>
  <c r="CA12" i="12"/>
  <c r="CA37" i="12"/>
  <c r="DG12" i="12"/>
  <c r="DG37" i="12"/>
  <c r="EM12" i="12"/>
  <c r="EM37" i="12"/>
  <c r="FS12" i="12"/>
  <c r="FS37" i="12"/>
  <c r="GY12" i="12"/>
  <c r="GY37" i="12"/>
  <c r="IE12" i="12"/>
  <c r="IE37" i="12"/>
  <c r="CL12" i="12"/>
  <c r="CL37" i="12"/>
  <c r="DR10" i="12"/>
  <c r="DR38" i="12" s="1"/>
  <c r="DR37" i="12"/>
  <c r="EX10" i="12"/>
  <c r="EX38" i="12" s="1"/>
  <c r="EX37" i="12"/>
  <c r="GD10" i="12"/>
  <c r="GD38" i="12" s="1"/>
  <c r="GD37" i="12"/>
  <c r="HJ24" i="12"/>
  <c r="HJ37" i="12"/>
  <c r="BU24" i="12"/>
  <c r="BU37" i="12"/>
  <c r="DA12" i="12"/>
  <c r="DA37" i="12"/>
  <c r="GS24" i="12"/>
  <c r="GS37" i="12"/>
  <c r="GM24" i="12"/>
  <c r="GM37" i="12"/>
  <c r="HS24" i="12"/>
  <c r="HS37" i="12"/>
  <c r="HE12" i="12"/>
  <c r="CB12" i="12"/>
  <c r="DH24" i="12"/>
  <c r="DX24" i="12"/>
  <c r="EN12" i="12"/>
  <c r="GJ24" i="12"/>
  <c r="GZ12" i="12"/>
  <c r="IF12" i="12"/>
  <c r="GA12" i="12"/>
  <c r="HW24" i="12"/>
  <c r="BN24" i="12"/>
  <c r="CD24" i="12"/>
  <c r="EP24" i="12"/>
  <c r="FF12" i="12"/>
  <c r="GL12" i="12"/>
  <c r="DI24" i="12"/>
  <c r="DY24" i="12"/>
  <c r="FU24" i="12"/>
  <c r="HQ12" i="12"/>
  <c r="EZ24" i="12"/>
  <c r="FP12" i="12"/>
  <c r="EI10" i="12"/>
  <c r="EI38" i="12" s="1"/>
  <c r="FO10" i="12"/>
  <c r="FO38" i="12" s="1"/>
  <c r="FO12" i="12"/>
  <c r="GE12" i="12"/>
  <c r="GU24" i="12"/>
  <c r="DN24" i="12"/>
  <c r="ET12" i="12"/>
  <c r="IC10" i="12"/>
  <c r="IC38" i="12" s="1"/>
  <c r="CJ12" i="12"/>
  <c r="GB10" i="12"/>
  <c r="GB38" i="12" s="1"/>
  <c r="HH12" i="12"/>
  <c r="CQ24" i="12"/>
  <c r="GI10" i="12"/>
  <c r="GI38" i="12" s="1"/>
  <c r="FN12" i="12"/>
  <c r="BZ12" i="12"/>
  <c r="DF10" i="12"/>
  <c r="DF38" i="12" s="1"/>
  <c r="EL12" i="12"/>
  <c r="FR10" i="12"/>
  <c r="FR38" i="12" s="1"/>
  <c r="ID10" i="12"/>
  <c r="ID38" i="12" s="1"/>
  <c r="CG24" i="12"/>
  <c r="DS10" i="12"/>
  <c r="DS38" i="12" s="1"/>
  <c r="GE10" i="12"/>
  <c r="GE25" i="12" s="1"/>
  <c r="CH24" i="12"/>
  <c r="ET10" i="12"/>
  <c r="ET38" i="12" s="1"/>
  <c r="HV10" i="12"/>
  <c r="DU12" i="12"/>
  <c r="FQ24" i="12"/>
  <c r="GW24" i="12"/>
  <c r="DP24" i="12"/>
  <c r="DW12" i="12"/>
  <c r="BV10" i="12"/>
  <c r="BV38" i="12" s="1"/>
  <c r="BV40" i="12" s="1"/>
  <c r="DB24" i="12"/>
  <c r="GT24" i="12"/>
  <c r="CK24" i="12"/>
  <c r="GC10" i="12"/>
  <c r="GC25" i="12" s="1"/>
  <c r="HI24" i="12"/>
  <c r="EB10" i="12"/>
  <c r="CW13" i="12"/>
  <c r="CW25" i="12"/>
  <c r="GO13" i="12"/>
  <c r="GO25" i="12"/>
  <c r="HP13" i="12"/>
  <c r="HP25" i="12"/>
  <c r="BS25" i="12"/>
  <c r="BS27" i="12" s="1"/>
  <c r="CI13" i="12"/>
  <c r="CI25" i="12"/>
  <c r="CI27" i="12" s="1"/>
  <c r="CM25" i="12"/>
  <c r="GU13" i="12"/>
  <c r="GU25" i="12"/>
  <c r="IA13" i="12"/>
  <c r="IA25" i="12"/>
  <c r="ET25" i="12"/>
  <c r="BX25" i="12"/>
  <c r="BX13" i="12"/>
  <c r="BX15" i="12" s="1"/>
  <c r="EN13" i="12"/>
  <c r="HG13" i="12"/>
  <c r="HG25" i="12"/>
  <c r="HR25" i="12"/>
  <c r="CC13" i="12"/>
  <c r="CC15" i="12" s="1"/>
  <c r="CC25" i="12"/>
  <c r="CC27" i="12" s="1"/>
  <c r="DY13" i="12"/>
  <c r="EO13" i="12"/>
  <c r="EO25" i="12"/>
  <c r="DD25" i="12"/>
  <c r="FP13" i="12"/>
  <c r="IB13" i="12"/>
  <c r="IB25" i="12"/>
  <c r="CO25" i="12"/>
  <c r="DK13" i="12"/>
  <c r="DK25" i="12"/>
  <c r="FW25" i="12"/>
  <c r="GX13" i="12"/>
  <c r="GW13" i="12"/>
  <c r="FN13" i="12"/>
  <c r="CH13" i="12"/>
  <c r="CH15" i="12" s="1"/>
  <c r="GJ13" i="12"/>
  <c r="CD13" i="12"/>
  <c r="CD15" i="12" s="1"/>
  <c r="DH13" i="12"/>
  <c r="GL13" i="12"/>
  <c r="EZ13" i="12"/>
  <c r="DF12" i="12"/>
  <c r="FR12" i="12"/>
  <c r="GX24" i="12"/>
  <c r="ID24" i="12"/>
  <c r="CG10" i="12"/>
  <c r="CG38" i="12" s="1"/>
  <c r="DM24" i="12"/>
  <c r="ES12" i="12"/>
  <c r="FI12" i="12"/>
  <c r="HE24" i="12"/>
  <c r="DH12" i="12"/>
  <c r="DX12" i="12"/>
  <c r="GJ12" i="12"/>
  <c r="IF24" i="12"/>
  <c r="CY12" i="12"/>
  <c r="EU12" i="12"/>
  <c r="FK12" i="12"/>
  <c r="HW12" i="12"/>
  <c r="BN12" i="12"/>
  <c r="CD12" i="12"/>
  <c r="EP12" i="12"/>
  <c r="GL24" i="12"/>
  <c r="FU12" i="12"/>
  <c r="IG12" i="12"/>
  <c r="CN12" i="12"/>
  <c r="EZ12" i="12"/>
  <c r="HL24" i="12"/>
  <c r="CH12" i="12"/>
  <c r="CX10" i="12"/>
  <c r="CX38" i="12" s="1"/>
  <c r="DN12" i="12"/>
  <c r="FJ12" i="12"/>
  <c r="HV12" i="12"/>
  <c r="BY10" i="12"/>
  <c r="BY38" i="12" s="1"/>
  <c r="DU24" i="12"/>
  <c r="EK12" i="12"/>
  <c r="FQ10" i="12"/>
  <c r="FQ38" i="12" s="1"/>
  <c r="GW12" i="12"/>
  <c r="IC24" i="12"/>
  <c r="DP10" i="12"/>
  <c r="DP38" i="12" s="1"/>
  <c r="EV12" i="12"/>
  <c r="GB24" i="12"/>
  <c r="DW10" i="12"/>
  <c r="DW38" i="12" s="1"/>
  <c r="FC24" i="12"/>
  <c r="GI12" i="12"/>
  <c r="HO24" i="12"/>
  <c r="DB12" i="12"/>
  <c r="EH10" i="12"/>
  <c r="EH38" i="12" s="1"/>
  <c r="FN24" i="12"/>
  <c r="GT12" i="12"/>
  <c r="HZ10" i="12"/>
  <c r="HZ38" i="12" s="1"/>
  <c r="CK12" i="12"/>
  <c r="DQ10" i="12"/>
  <c r="DQ38" i="12" s="1"/>
  <c r="GC12" i="12"/>
  <c r="BP10" i="12"/>
  <c r="BP38" i="12" s="1"/>
  <c r="EB12" i="12"/>
  <c r="FH24" i="12"/>
  <c r="GN10" i="12"/>
  <c r="GN38" i="12" s="1"/>
  <c r="CE12" i="12"/>
  <c r="EQ12" i="12"/>
  <c r="FW24" i="12"/>
  <c r="HC12" i="12"/>
  <c r="BR12" i="12"/>
  <c r="GP24" i="12"/>
  <c r="HM12" i="12"/>
  <c r="CZ12" i="12"/>
  <c r="FL12" i="12"/>
  <c r="HX24" i="12"/>
  <c r="FS24" i="12"/>
  <c r="IE24" i="12"/>
  <c r="DR24" i="12"/>
  <c r="GD24" i="12"/>
  <c r="D14" i="14"/>
  <c r="D14" i="15" s="1"/>
  <c r="DA10" i="12"/>
  <c r="DA38" i="12" s="1"/>
  <c r="FM24" i="12"/>
  <c r="HY12" i="12"/>
  <c r="DL12" i="12"/>
  <c r="FX12" i="12"/>
  <c r="D5" i="14"/>
  <c r="F34" i="14" s="1"/>
  <c r="BZ24" i="12"/>
  <c r="DF24" i="12"/>
  <c r="EL24" i="12"/>
  <c r="GX12" i="12"/>
  <c r="DM12" i="12"/>
  <c r="FJ24" i="12"/>
  <c r="HV24" i="12"/>
  <c r="D23" i="14"/>
  <c r="G23" i="14" s="1"/>
  <c r="D40" i="14" s="1"/>
  <c r="E40" i="14" s="1"/>
  <c r="EK24" i="12"/>
  <c r="IC12" i="12"/>
  <c r="CJ24" i="12"/>
  <c r="DP12" i="12"/>
  <c r="EV24" i="12"/>
  <c r="GB12" i="12"/>
  <c r="HH24" i="12"/>
  <c r="CQ10" i="12"/>
  <c r="CQ38" i="12" s="1"/>
  <c r="FC10" i="12"/>
  <c r="FC38" i="12" s="1"/>
  <c r="GI24" i="12"/>
  <c r="HO10" i="12"/>
  <c r="HO38" i="12" s="1"/>
  <c r="BV24" i="12"/>
  <c r="EH24" i="12"/>
  <c r="HZ24" i="12"/>
  <c r="DQ12" i="12"/>
  <c r="EW10" i="12"/>
  <c r="EW38" i="12" s="1"/>
  <c r="HI10" i="12"/>
  <c r="HI38" i="12" s="1"/>
  <c r="BP24" i="12"/>
  <c r="CV10" i="12"/>
  <c r="CV38" i="12" s="1"/>
  <c r="EB24" i="12"/>
  <c r="FH10" i="12"/>
  <c r="FH38" i="12" s="1"/>
  <c r="GN24" i="12"/>
  <c r="HT10" i="12"/>
  <c r="HT38" i="12" s="1"/>
  <c r="CE10" i="12"/>
  <c r="CE38" i="12" s="1"/>
  <c r="DK12" i="12"/>
  <c r="EQ10" i="12"/>
  <c r="EQ38" i="12" s="1"/>
  <c r="FW12" i="12"/>
  <c r="HC10" i="12"/>
  <c r="HC38" i="12" s="1"/>
  <c r="AA10" i="12"/>
  <c r="G20" i="9"/>
  <c r="H20" i="9" s="1"/>
  <c r="Z10" i="12"/>
  <c r="D8" i="14"/>
  <c r="CP12" i="12"/>
  <c r="DV24" i="12"/>
  <c r="D17" i="14"/>
  <c r="D17" i="15" s="1"/>
  <c r="BQ24" i="12"/>
  <c r="CW12" i="12"/>
  <c r="EC10" i="12"/>
  <c r="EC38" i="12" s="1"/>
  <c r="D20" i="14"/>
  <c r="D20" i="15" s="1"/>
  <c r="X10" i="12"/>
  <c r="W10" i="12"/>
  <c r="BR10" i="12"/>
  <c r="BR38" i="12" s="1"/>
  <c r="ED10" i="12"/>
  <c r="ED38" i="12" s="1"/>
  <c r="GP10" i="12"/>
  <c r="GP38" i="12" s="1"/>
  <c r="DE12" i="12"/>
  <c r="FA12" i="12"/>
  <c r="GG24" i="12"/>
  <c r="CA24" i="12"/>
  <c r="DG24" i="12"/>
  <c r="EM24" i="12"/>
  <c r="DR12" i="12"/>
  <c r="EX12" i="12"/>
  <c r="GD12" i="12"/>
  <c r="HJ10" i="12"/>
  <c r="HJ38" i="12" s="1"/>
  <c r="BU12" i="12"/>
  <c r="DA24" i="12"/>
  <c r="EG10" i="12"/>
  <c r="EG38" i="12" s="1"/>
  <c r="FM10" i="12"/>
  <c r="FM38" i="12" s="1"/>
  <c r="GS10" i="12"/>
  <c r="GS38" i="12" s="1"/>
  <c r="HY10" i="12"/>
  <c r="HY38" i="12" s="1"/>
  <c r="CF10" i="12"/>
  <c r="CF38" i="12" s="1"/>
  <c r="DL10" i="12"/>
  <c r="DL38" i="12" s="1"/>
  <c r="ER10" i="12"/>
  <c r="ER38" i="12" s="1"/>
  <c r="FX10" i="12"/>
  <c r="FX38" i="12" s="1"/>
  <c r="HD10" i="12"/>
  <c r="HD38" i="12" s="1"/>
  <c r="BO12" i="12"/>
  <c r="CU12" i="12"/>
  <c r="EA12" i="12"/>
  <c r="FG12" i="12"/>
  <c r="GM12" i="12"/>
  <c r="HS12" i="12"/>
  <c r="D26" i="14"/>
  <c r="D26" i="15" s="1"/>
  <c r="CP24" i="12"/>
  <c r="DV12" i="12"/>
  <c r="FB12" i="12"/>
  <c r="GH12" i="12"/>
  <c r="HN24" i="12"/>
  <c r="BQ12" i="12"/>
  <c r="D29" i="14"/>
  <c r="G29" i="14" s="1"/>
  <c r="D42" i="14" s="1"/>
  <c r="E42" i="14" s="1"/>
  <c r="EC24" i="12"/>
  <c r="D32" i="14"/>
  <c r="G32" i="14" s="1"/>
  <c r="D43" i="14" s="1"/>
  <c r="E43" i="14" s="1"/>
  <c r="GP12" i="12"/>
  <c r="D11" i="14"/>
  <c r="DE24" i="12"/>
  <c r="FA24" i="12"/>
  <c r="HM24" i="12"/>
  <c r="BT24" i="12"/>
  <c r="CZ24" i="12"/>
  <c r="EF24" i="12"/>
  <c r="FL24" i="12"/>
  <c r="GR24" i="12"/>
  <c r="HX12" i="12"/>
  <c r="CA10" i="12"/>
  <c r="CA38" i="12" s="1"/>
  <c r="DG10" i="12"/>
  <c r="DG38" i="12" s="1"/>
  <c r="EM10" i="12"/>
  <c r="EM38" i="12" s="1"/>
  <c r="FS10" i="12"/>
  <c r="FS38" i="12" s="1"/>
  <c r="GY10" i="12"/>
  <c r="GY38" i="12" s="1"/>
  <c r="IE10" i="12"/>
  <c r="IE38" i="12" s="1"/>
  <c r="CL10" i="12"/>
  <c r="CL38" i="12" s="1"/>
  <c r="HJ12" i="12"/>
  <c r="BU10" i="12"/>
  <c r="BU38" i="12" s="1"/>
  <c r="EG12" i="12"/>
  <c r="FM12" i="12"/>
  <c r="HY24" i="12"/>
  <c r="CF24" i="12"/>
  <c r="DL24" i="12"/>
  <c r="ER24" i="12"/>
  <c r="FX24" i="12"/>
  <c r="HD24" i="12"/>
  <c r="BO10" i="12"/>
  <c r="BO38" i="12" s="1"/>
  <c r="CU10" i="12"/>
  <c r="CU38" i="12" s="1"/>
  <c r="EA10" i="12"/>
  <c r="EA38" i="12" s="1"/>
  <c r="FG10" i="12"/>
  <c r="FG38" i="12" s="1"/>
  <c r="GM10" i="12"/>
  <c r="GM38" i="12" s="1"/>
  <c r="HS10" i="12"/>
  <c r="HS38" i="12" s="1"/>
  <c r="BM40" i="12"/>
  <c r="CC40" i="12"/>
  <c r="D5" i="15"/>
  <c r="CI15" i="12"/>
  <c r="CI40" i="12"/>
  <c r="BX27" i="12"/>
  <c r="BX40" i="12"/>
  <c r="K20" i="9"/>
  <c r="J12" i="6"/>
  <c r="CM1" i="12"/>
  <c r="N12" i="9"/>
  <c r="N20" i="9"/>
  <c r="I52" i="9"/>
  <c r="L10" i="9"/>
  <c r="L21" i="9"/>
  <c r="J13" i="9"/>
  <c r="J52" i="9" s="1"/>
  <c r="K16" i="9"/>
  <c r="J8" i="6"/>
  <c r="J9" i="6"/>
  <c r="H39" i="5"/>
  <c r="FT25" i="12" l="1"/>
  <c r="DR25" i="12"/>
  <c r="GV13" i="12"/>
  <c r="DT25" i="12"/>
  <c r="DJ25" i="12"/>
  <c r="FA25" i="12"/>
  <c r="HF13" i="12"/>
  <c r="DT13" i="12"/>
  <c r="GK25" i="12"/>
  <c r="CS25" i="12"/>
  <c r="FV13" i="12"/>
  <c r="DO13" i="12"/>
  <c r="FT13" i="12"/>
  <c r="HU25" i="12"/>
  <c r="EF25" i="12"/>
  <c r="GH25" i="12"/>
  <c r="EY13" i="12"/>
  <c r="BW13" i="12"/>
  <c r="BW15" i="12" s="1"/>
  <c r="IC25" i="12"/>
  <c r="HF25" i="12"/>
  <c r="FZ13" i="12"/>
  <c r="HA25" i="12"/>
  <c r="CS13" i="12"/>
  <c r="HR13" i="12"/>
  <c r="DZ25" i="12"/>
  <c r="DJ13" i="12"/>
  <c r="FD13" i="12"/>
  <c r="CR25" i="12"/>
  <c r="GD25" i="12"/>
  <c r="GR25" i="12"/>
  <c r="HM25" i="12"/>
  <c r="BQ25" i="12"/>
  <c r="BQ27" i="12" s="1"/>
  <c r="DV25" i="12"/>
  <c r="FO13" i="12"/>
  <c r="GQ25" i="12"/>
  <c r="GB25" i="12"/>
  <c r="EX25" i="12"/>
  <c r="HX25" i="12"/>
  <c r="FL25" i="12"/>
  <c r="CZ25" i="12"/>
  <c r="GG25" i="12"/>
  <c r="DE25" i="12"/>
  <c r="HN25" i="12"/>
  <c r="FB25" i="12"/>
  <c r="CP25" i="12"/>
  <c r="HK13" i="12"/>
  <c r="FR25" i="12"/>
  <c r="EE25" i="12"/>
  <c r="ID25" i="12"/>
  <c r="FU13" i="12"/>
  <c r="EU13" i="12"/>
  <c r="DU13" i="12"/>
  <c r="FK13" i="12"/>
  <c r="HE13" i="12"/>
  <c r="CK13" i="12"/>
  <c r="CK15" i="12" s="1"/>
  <c r="HH13" i="12"/>
  <c r="FJ13" i="12"/>
  <c r="BZ13" i="12"/>
  <c r="BZ15" i="12" s="1"/>
  <c r="FW13" i="12"/>
  <c r="GF25" i="12"/>
  <c r="EJ13" i="12"/>
  <c r="FE25" i="12"/>
  <c r="BM13" i="12"/>
  <c r="BM15" i="12" s="1"/>
  <c r="FF13" i="12"/>
  <c r="CT13" i="12"/>
  <c r="DC13" i="12"/>
  <c r="CM13" i="12"/>
  <c r="CM15" i="12" s="1"/>
  <c r="FY25" i="12"/>
  <c r="G26" i="14"/>
  <c r="D41" i="14" s="1"/>
  <c r="E41" i="14" s="1"/>
  <c r="GB13" i="12"/>
  <c r="IC13" i="12"/>
  <c r="FZ25" i="12"/>
  <c r="GV25" i="12"/>
  <c r="DD13" i="12"/>
  <c r="HA13" i="12"/>
  <c r="GK13" i="12"/>
  <c r="FV25" i="12"/>
  <c r="DZ13" i="12"/>
  <c r="DO25" i="12"/>
  <c r="FD25" i="12"/>
  <c r="CR13" i="12"/>
  <c r="HU13" i="12"/>
  <c r="GD13" i="12"/>
  <c r="EX13" i="12"/>
  <c r="DR13" i="12"/>
  <c r="HX13" i="12"/>
  <c r="GR13" i="12"/>
  <c r="FL13" i="12"/>
  <c r="EF13" i="12"/>
  <c r="CZ13" i="12"/>
  <c r="HM13" i="12"/>
  <c r="GG13" i="12"/>
  <c r="FA13" i="12"/>
  <c r="DE13" i="12"/>
  <c r="BQ13" i="12"/>
  <c r="BQ15" i="12" s="1"/>
  <c r="HN13" i="12"/>
  <c r="GH13" i="12"/>
  <c r="FB13" i="12"/>
  <c r="DV13" i="12"/>
  <c r="CP13" i="12"/>
  <c r="HK25" i="12"/>
  <c r="EY25" i="12"/>
  <c r="BW25" i="12"/>
  <c r="BW27" i="12" s="1"/>
  <c r="DF25" i="12"/>
  <c r="GQ13" i="12"/>
  <c r="EE13" i="12"/>
  <c r="BS13" i="12"/>
  <c r="BS15" i="12" s="1"/>
  <c r="DS13" i="12"/>
  <c r="I20" i="9"/>
  <c r="HL13" i="12"/>
  <c r="IG13" i="12"/>
  <c r="DI13" i="12"/>
  <c r="BN13" i="12"/>
  <c r="BN15" i="12" s="1"/>
  <c r="IF13" i="12"/>
  <c r="FI13" i="12"/>
  <c r="EP13" i="12"/>
  <c r="HW13" i="12"/>
  <c r="CY13" i="12"/>
  <c r="DX13" i="12"/>
  <c r="ES13" i="12"/>
  <c r="DN13" i="12"/>
  <c r="GT13" i="12"/>
  <c r="DB13" i="12"/>
  <c r="EV13" i="12"/>
  <c r="EK13" i="12"/>
  <c r="DM13" i="12"/>
  <c r="EL13" i="12"/>
  <c r="GI13" i="12"/>
  <c r="CO13" i="12"/>
  <c r="GF13" i="12"/>
  <c r="EJ25" i="12"/>
  <c r="HQ13" i="12"/>
  <c r="FE13" i="12"/>
  <c r="BM25" i="12"/>
  <c r="BM27" i="12" s="1"/>
  <c r="HB13" i="12"/>
  <c r="CT25" i="12"/>
  <c r="GA13" i="12"/>
  <c r="DC25" i="12"/>
  <c r="GZ25" i="12"/>
  <c r="FY13" i="12"/>
  <c r="G20" i="14"/>
  <c r="D39" i="14" s="1"/>
  <c r="E39" i="14" s="1"/>
  <c r="ET13" i="12"/>
  <c r="FO25" i="12"/>
  <c r="FR13" i="12"/>
  <c r="DF13" i="12"/>
  <c r="D29" i="15"/>
  <c r="EI13" i="12"/>
  <c r="BV13" i="12"/>
  <c r="BV15" i="12" s="1"/>
  <c r="EB13" i="12"/>
  <c r="EB38" i="12"/>
  <c r="GC13" i="12"/>
  <c r="GC38" i="12"/>
  <c r="HV25" i="12"/>
  <c r="HV38" i="12"/>
  <c r="CB13" i="12"/>
  <c r="CB15" i="12" s="1"/>
  <c r="CB38" i="12"/>
  <c r="CB40" i="12" s="1"/>
  <c r="CN13" i="12"/>
  <c r="CN38" i="12"/>
  <c r="CJ13" i="12"/>
  <c r="CJ15" i="12" s="1"/>
  <c r="CJ38" i="12"/>
  <c r="CJ40" i="12" s="1"/>
  <c r="GE13" i="12"/>
  <c r="GE38" i="12"/>
  <c r="BT13" i="12"/>
  <c r="BT15" i="12" s="1"/>
  <c r="BT38" i="12"/>
  <c r="BT40" i="12" s="1"/>
  <c r="M20" i="9"/>
  <c r="L20" i="9"/>
  <c r="J20" i="9"/>
  <c r="D23" i="15"/>
  <c r="CB25" i="12"/>
  <c r="CB27" i="12" s="1"/>
  <c r="HL25" i="12"/>
  <c r="EZ25" i="12"/>
  <c r="IG25" i="12"/>
  <c r="FU25" i="12"/>
  <c r="DI25" i="12"/>
  <c r="GL25" i="12"/>
  <c r="BN25" i="12"/>
  <c r="BN27" i="12" s="1"/>
  <c r="EU25" i="12"/>
  <c r="IF25" i="12"/>
  <c r="DH25" i="12"/>
  <c r="FI25" i="12"/>
  <c r="DU25" i="12"/>
  <c r="EP25" i="12"/>
  <c r="CD25" i="12"/>
  <c r="CD27" i="12" s="1"/>
  <c r="HW25" i="12"/>
  <c r="FK25" i="12"/>
  <c r="CY25" i="12"/>
  <c r="GJ25" i="12"/>
  <c r="DX25" i="12"/>
  <c r="HE25" i="12"/>
  <c r="ES25" i="12"/>
  <c r="CH25" i="12"/>
  <c r="CH27" i="12" s="1"/>
  <c r="DN25" i="12"/>
  <c r="CK25" i="12"/>
  <c r="CK27" i="12" s="1"/>
  <c r="GT25" i="12"/>
  <c r="FN25" i="12"/>
  <c r="DB25" i="12"/>
  <c r="HH25" i="12"/>
  <c r="EV25" i="12"/>
  <c r="GW25" i="12"/>
  <c r="EK25" i="12"/>
  <c r="FJ25" i="12"/>
  <c r="DM25" i="12"/>
  <c r="GX25" i="12"/>
  <c r="EL25" i="12"/>
  <c r="BZ25" i="12"/>
  <c r="BZ27" i="12" s="1"/>
  <c r="GI25" i="12"/>
  <c r="FP25" i="12"/>
  <c r="HQ25" i="12"/>
  <c r="DY25" i="12"/>
  <c r="HB25" i="12"/>
  <c r="FF25" i="12"/>
  <c r="GA25" i="12"/>
  <c r="EN25" i="12"/>
  <c r="CN25" i="12"/>
  <c r="EB25" i="12"/>
  <c r="BV25" i="12"/>
  <c r="BV27" i="12" s="1"/>
  <c r="HV13" i="12"/>
  <c r="EI25" i="12"/>
  <c r="DS25" i="12"/>
  <c r="ID13" i="12"/>
  <c r="GZ13" i="12"/>
  <c r="D32" i="15"/>
  <c r="GM13" i="12"/>
  <c r="GM25" i="12"/>
  <c r="EA13" i="12"/>
  <c r="EA25" i="12"/>
  <c r="BO13" i="12"/>
  <c r="BO15" i="12" s="1"/>
  <c r="BO25" i="12"/>
  <c r="BO27" i="12" s="1"/>
  <c r="CL40" i="12"/>
  <c r="CL13" i="12"/>
  <c r="CL15" i="12" s="1"/>
  <c r="CL25" i="12"/>
  <c r="CL27" i="12" s="1"/>
  <c r="IE13" i="12"/>
  <c r="IE25" i="12"/>
  <c r="FS13" i="12"/>
  <c r="FS25" i="12"/>
  <c r="DG13" i="12"/>
  <c r="DG25" i="12"/>
  <c r="HD13" i="12"/>
  <c r="HD25" i="12"/>
  <c r="ER13" i="12"/>
  <c r="ER25" i="12"/>
  <c r="CF13" i="12"/>
  <c r="CF15" i="12" s="1"/>
  <c r="CF25" i="12"/>
  <c r="CF27" i="12" s="1"/>
  <c r="GS13" i="12"/>
  <c r="GS25" i="12"/>
  <c r="EG13" i="12"/>
  <c r="EG25" i="12"/>
  <c r="ED13" i="12"/>
  <c r="ED25" i="12"/>
  <c r="HT13" i="12"/>
  <c r="HT25" i="12"/>
  <c r="FH13" i="12"/>
  <c r="FH25" i="12"/>
  <c r="CV13" i="12"/>
  <c r="CV25" i="12"/>
  <c r="HI13" i="12"/>
  <c r="HI25" i="12"/>
  <c r="EW13" i="12"/>
  <c r="EW25" i="12"/>
  <c r="EH13" i="12"/>
  <c r="EH25" i="12"/>
  <c r="DW13" i="12"/>
  <c r="DW25" i="12"/>
  <c r="BY13" i="12"/>
  <c r="BY15" i="12" s="1"/>
  <c r="BY25" i="12"/>
  <c r="BY27" i="12" s="1"/>
  <c r="BY40" i="12"/>
  <c r="HS13" i="12"/>
  <c r="HS25" i="12"/>
  <c r="FG13" i="12"/>
  <c r="FG25" i="12"/>
  <c r="CU13" i="12"/>
  <c r="CU25" i="12"/>
  <c r="BU40" i="12"/>
  <c r="BU13" i="12"/>
  <c r="BU25" i="12"/>
  <c r="GY13" i="12"/>
  <c r="GY25" i="12"/>
  <c r="EM13" i="12"/>
  <c r="EM25" i="12"/>
  <c r="CA13" i="12"/>
  <c r="CA15" i="12" s="1"/>
  <c r="CA25" i="12"/>
  <c r="CA27" i="12" s="1"/>
  <c r="CA40" i="12"/>
  <c r="FX13" i="12"/>
  <c r="FX25" i="12"/>
  <c r="DL13" i="12"/>
  <c r="DL25" i="12"/>
  <c r="HY13" i="12"/>
  <c r="HY25" i="12"/>
  <c r="FM13" i="12"/>
  <c r="FM25" i="12"/>
  <c r="HJ13" i="12"/>
  <c r="HJ25" i="12"/>
  <c r="GP13" i="12"/>
  <c r="GP25" i="12"/>
  <c r="BR13" i="12"/>
  <c r="BR15" i="12" s="1"/>
  <c r="BR25" i="12"/>
  <c r="BR27" i="12" s="1"/>
  <c r="EC13" i="12"/>
  <c r="EC25" i="12"/>
  <c r="HC13" i="12"/>
  <c r="HC25" i="12"/>
  <c r="EQ13" i="12"/>
  <c r="EQ25" i="12"/>
  <c r="CE40" i="12"/>
  <c r="CE13" i="12"/>
  <c r="CE15" i="12" s="1"/>
  <c r="CE25" i="12"/>
  <c r="CE27" i="12" s="1"/>
  <c r="HO13" i="12"/>
  <c r="HO25" i="12"/>
  <c r="FC13" i="12"/>
  <c r="FC25" i="12"/>
  <c r="CQ13" i="12"/>
  <c r="CQ25" i="12"/>
  <c r="DA13" i="12"/>
  <c r="DA25" i="12"/>
  <c r="GN13" i="12"/>
  <c r="GN25" i="12"/>
  <c r="BP40" i="12"/>
  <c r="BP13" i="12"/>
  <c r="BP15" i="12" s="1"/>
  <c r="BP25" i="12"/>
  <c r="BP27" i="12" s="1"/>
  <c r="DQ13" i="12"/>
  <c r="DQ25" i="12"/>
  <c r="HZ13" i="12"/>
  <c r="HZ25" i="12"/>
  <c r="DP13" i="12"/>
  <c r="DP25" i="12"/>
  <c r="FQ13" i="12"/>
  <c r="FQ25" i="12"/>
  <c r="CX13" i="12"/>
  <c r="CX25" i="12"/>
  <c r="CG40" i="12"/>
  <c r="CG13" i="12"/>
  <c r="CG15" i="12" s="1"/>
  <c r="CG25" i="12"/>
  <c r="CG27" i="12" s="1"/>
  <c r="D11" i="15"/>
  <c r="F36" i="14"/>
  <c r="D8" i="15"/>
  <c r="F35" i="14"/>
  <c r="BU15" i="12"/>
  <c r="CF40" i="12"/>
  <c r="BR40" i="12"/>
  <c r="BU27" i="12"/>
  <c r="BO40" i="12"/>
  <c r="CN1" i="12"/>
  <c r="CM27" i="12"/>
  <c r="CM40" i="12"/>
  <c r="K13" i="9"/>
  <c r="K52" i="9" s="1"/>
  <c r="L16" i="9"/>
  <c r="M10" i="9"/>
  <c r="M21" i="9"/>
  <c r="O20" i="9"/>
  <c r="O12" i="9"/>
  <c r="E29" i="4"/>
  <c r="E30" i="4"/>
  <c r="D30" i="4"/>
  <c r="CO1" i="12" l="1"/>
  <c r="CN15" i="12"/>
  <c r="CN27" i="12"/>
  <c r="CN40" i="12"/>
  <c r="N10" i="9"/>
  <c r="N21" i="9"/>
  <c r="P12" i="9"/>
  <c r="P20" i="9"/>
  <c r="L13" i="9"/>
  <c r="L52" i="9" s="1"/>
  <c r="M16" i="9"/>
  <c r="D82" i="4"/>
  <c r="D83" i="4"/>
  <c r="D84" i="4"/>
  <c r="D23" i="4"/>
  <c r="E23" i="4"/>
  <c r="CP1" i="12" l="1"/>
  <c r="CO15" i="12"/>
  <c r="CO27" i="12"/>
  <c r="CO40" i="12"/>
  <c r="M13" i="9"/>
  <c r="M52" i="9" s="1"/>
  <c r="N16" i="9"/>
  <c r="O10" i="9"/>
  <c r="O21" i="9"/>
  <c r="Q20" i="9"/>
  <c r="Q12" i="9"/>
  <c r="B66" i="4"/>
  <c r="D29" i="4"/>
  <c r="CQ1" i="12" l="1"/>
  <c r="CP15" i="12"/>
  <c r="CP27" i="12"/>
  <c r="CP40" i="12"/>
  <c r="R12" i="9"/>
  <c r="R20" i="9"/>
  <c r="P10" i="9"/>
  <c r="P21" i="9"/>
  <c r="N13" i="9"/>
  <c r="N52" i="9" s="1"/>
  <c r="O16" i="9"/>
  <c r="E28" i="4"/>
  <c r="D28" i="4"/>
  <c r="E26" i="4"/>
  <c r="D26" i="4"/>
  <c r="E27" i="4"/>
  <c r="D27" i="4"/>
  <c r="D25" i="4"/>
  <c r="D24" i="4"/>
  <c r="E24" i="4"/>
  <c r="CR1" i="12" l="1"/>
  <c r="CQ15" i="12"/>
  <c r="CQ27" i="12"/>
  <c r="CQ40" i="12"/>
  <c r="O13" i="9"/>
  <c r="O52" i="9" s="1"/>
  <c r="P16" i="9"/>
  <c r="Q10" i="9"/>
  <c r="Q21" i="9"/>
  <c r="S20" i="9"/>
  <c r="S12" i="9"/>
  <c r="E25" i="4"/>
  <c r="D31" i="4"/>
  <c r="CS1" i="12" l="1"/>
  <c r="CR15" i="12"/>
  <c r="CR27" i="12"/>
  <c r="CR40" i="12"/>
  <c r="T12" i="9"/>
  <c r="T20" i="9"/>
  <c r="R10" i="9"/>
  <c r="R21" i="9"/>
  <c r="P13" i="9"/>
  <c r="P52" i="9" s="1"/>
  <c r="Q16" i="9"/>
  <c r="J28" i="5"/>
  <c r="G19" i="9" s="1"/>
  <c r="B36" i="4"/>
  <c r="B16" i="13" l="1"/>
  <c r="G18" i="9"/>
  <c r="G27" i="9" s="1"/>
  <c r="I19" i="9"/>
  <c r="I18" i="9" s="1"/>
  <c r="I27" i="9" s="1"/>
  <c r="H19" i="9"/>
  <c r="H18" i="9" s="1"/>
  <c r="H27" i="9" s="1"/>
  <c r="J19" i="9"/>
  <c r="J18" i="9" s="1"/>
  <c r="J27" i="9" s="1"/>
  <c r="K19" i="9"/>
  <c r="K18" i="9" s="1"/>
  <c r="K27" i="9" s="1"/>
  <c r="L19" i="9"/>
  <c r="L18" i="9" s="1"/>
  <c r="L27" i="9" s="1"/>
  <c r="M19" i="9"/>
  <c r="M18" i="9" s="1"/>
  <c r="M27" i="9" s="1"/>
  <c r="N19" i="9"/>
  <c r="N18" i="9" s="1"/>
  <c r="N27" i="9" s="1"/>
  <c r="O19" i="9"/>
  <c r="O18" i="9" s="1"/>
  <c r="O27" i="9" s="1"/>
  <c r="P19" i="9"/>
  <c r="P18" i="9" s="1"/>
  <c r="P27" i="9" s="1"/>
  <c r="Q19" i="9"/>
  <c r="Q18" i="9" s="1"/>
  <c r="Q27" i="9" s="1"/>
  <c r="R19" i="9"/>
  <c r="R18" i="9" s="1"/>
  <c r="R27" i="9" s="1"/>
  <c r="CT1" i="12"/>
  <c r="CS15" i="12"/>
  <c r="CS27" i="12"/>
  <c r="CS40" i="12"/>
  <c r="Q13" i="9"/>
  <c r="Q52" i="9" s="1"/>
  <c r="R16" i="9"/>
  <c r="S19" i="9"/>
  <c r="S10" i="9"/>
  <c r="S21" i="9"/>
  <c r="U20" i="9"/>
  <c r="U12" i="9"/>
  <c r="K30" i="5"/>
  <c r="G64" i="5" s="1"/>
  <c r="G49" i="5"/>
  <c r="H51" i="5" s="1"/>
  <c r="I51" i="5" s="1"/>
  <c r="G70" i="5" s="1"/>
  <c r="B37" i="4"/>
  <c r="E31" i="4"/>
  <c r="B42" i="4"/>
  <c r="B45" i="4" s="1"/>
  <c r="B67" i="4"/>
  <c r="B28" i="13" l="1"/>
  <c r="CU1" i="12"/>
  <c r="CT15" i="12"/>
  <c r="CT27" i="12"/>
  <c r="CT40" i="12"/>
  <c r="T10" i="9"/>
  <c r="T21" i="9"/>
  <c r="T19" i="9"/>
  <c r="R13" i="9"/>
  <c r="R52" i="9" s="1"/>
  <c r="S16" i="9"/>
  <c r="S18" i="9"/>
  <c r="S27" i="9" s="1"/>
  <c r="V12" i="9"/>
  <c r="V20" i="9"/>
  <c r="B61" i="4"/>
  <c r="B72" i="4" s="1"/>
  <c r="B62" i="4"/>
  <c r="T18" i="9" l="1"/>
  <c r="T27" i="9" s="1"/>
  <c r="CV1" i="12"/>
  <c r="CU15" i="12"/>
  <c r="CU27" i="12"/>
  <c r="CU40" i="12"/>
  <c r="U19" i="9"/>
  <c r="U10" i="9"/>
  <c r="U21" i="9"/>
  <c r="W20" i="9"/>
  <c r="W12" i="9"/>
  <c r="S13" i="9"/>
  <c r="S52" i="9" s="1"/>
  <c r="T16" i="9"/>
  <c r="B38" i="4"/>
  <c r="B15" i="13" l="1"/>
  <c r="B14" i="13" s="1"/>
  <c r="B21" i="13" s="1"/>
  <c r="B46" i="4"/>
  <c r="B17" i="13"/>
  <c r="B3" i="12"/>
  <c r="CW1" i="12"/>
  <c r="CV15" i="12"/>
  <c r="CV27" i="12"/>
  <c r="CV40" i="12"/>
  <c r="V10" i="9"/>
  <c r="V21" i="9"/>
  <c r="V19" i="9"/>
  <c r="T13" i="9"/>
  <c r="T52" i="9" s="1"/>
  <c r="U16" i="9"/>
  <c r="X12" i="9"/>
  <c r="X20" i="9"/>
  <c r="U18" i="9"/>
  <c r="U27" i="9" s="1"/>
  <c r="B35" i="4"/>
  <c r="V18" i="9" l="1"/>
  <c r="V27" i="9" s="1"/>
  <c r="B44" i="4"/>
  <c r="B50" i="4" s="1"/>
  <c r="B23" i="13" s="1"/>
  <c r="B4" i="12" s="1"/>
  <c r="B5" i="12" s="1"/>
  <c r="G63" i="5"/>
  <c r="G67" i="5" s="1"/>
  <c r="B29" i="13"/>
  <c r="B30" i="13" s="1"/>
  <c r="B53" i="4" s="1"/>
  <c r="B32" i="13"/>
  <c r="E36" i="12" s="1"/>
  <c r="B35" i="12"/>
  <c r="B38" i="12" s="1"/>
  <c r="CX1" i="12"/>
  <c r="CW15" i="12"/>
  <c r="CW27" i="12"/>
  <c r="CW40" i="12"/>
  <c r="U13" i="9"/>
  <c r="U52" i="9" s="1"/>
  <c r="V16" i="9"/>
  <c r="W19" i="9"/>
  <c r="W10" i="9"/>
  <c r="W21" i="9"/>
  <c r="Y20" i="9"/>
  <c r="Y12" i="9"/>
  <c r="G53" i="5" l="1"/>
  <c r="G54" i="5" s="1"/>
  <c r="G55" i="5" s="1"/>
  <c r="B31" i="13"/>
  <c r="E22" i="12" s="1"/>
  <c r="E25" i="12" s="1"/>
  <c r="E27" i="12" s="1"/>
  <c r="B37" i="12"/>
  <c r="B57" i="4"/>
  <c r="B56" i="4"/>
  <c r="B73" i="4" s="1"/>
  <c r="E38" i="12"/>
  <c r="E40" i="12" s="1"/>
  <c r="E37" i="12"/>
  <c r="B25" i="12"/>
  <c r="B12" i="12"/>
  <c r="B13" i="12"/>
  <c r="E6" i="12"/>
  <c r="E13" i="12" s="1"/>
  <c r="B34" i="13"/>
  <c r="F3" i="14"/>
  <c r="F3" i="15" s="1"/>
  <c r="B24" i="12"/>
  <c r="F36" i="12"/>
  <c r="CY1" i="12"/>
  <c r="CX15" i="12"/>
  <c r="CX27" i="12"/>
  <c r="CX40" i="12"/>
  <c r="Z12" i="9"/>
  <c r="Z20" i="9"/>
  <c r="W18" i="9"/>
  <c r="W27" i="9" s="1"/>
  <c r="X10" i="9"/>
  <c r="X21" i="9"/>
  <c r="X19" i="9"/>
  <c r="V13" i="9"/>
  <c r="V52" i="9" s="1"/>
  <c r="W16" i="9"/>
  <c r="E24" i="12" l="1"/>
  <c r="F22" i="12"/>
  <c r="F25" i="12" s="1"/>
  <c r="F27" i="12" s="1"/>
  <c r="F37" i="12"/>
  <c r="F38" i="12"/>
  <c r="F40" i="12" s="1"/>
  <c r="F6" i="12"/>
  <c r="F13" i="12" s="1"/>
  <c r="E23" i="12"/>
  <c r="E12" i="12"/>
  <c r="E15" i="12"/>
  <c r="B26" i="12"/>
  <c r="C26" i="12" s="1"/>
  <c r="D26" i="12" s="1"/>
  <c r="E26" i="12" s="1"/>
  <c r="B27" i="12"/>
  <c r="B28" i="12" s="1"/>
  <c r="C28" i="12" s="1"/>
  <c r="D28" i="12" s="1"/>
  <c r="E28" i="12" s="1"/>
  <c r="G36" i="12"/>
  <c r="B39" i="12"/>
  <c r="C39" i="12" s="1"/>
  <c r="D39" i="12" s="1"/>
  <c r="E39" i="12" s="1"/>
  <c r="B40" i="12"/>
  <c r="B41" i="12" s="1"/>
  <c r="B15" i="12"/>
  <c r="B16" i="12" s="1"/>
  <c r="B14" i="12"/>
  <c r="C14" i="12" s="1"/>
  <c r="D14" i="12" s="1"/>
  <c r="CZ1" i="12"/>
  <c r="CY15" i="12"/>
  <c r="CY27" i="12"/>
  <c r="CY40" i="12"/>
  <c r="AA20" i="9"/>
  <c r="AA12" i="9"/>
  <c r="W13" i="9"/>
  <c r="W52" i="9" s="1"/>
  <c r="X16" i="9"/>
  <c r="Y19" i="9"/>
  <c r="Y10" i="9"/>
  <c r="Y21" i="9"/>
  <c r="X18" i="9"/>
  <c r="X27" i="9" s="1"/>
  <c r="F24" i="12" l="1"/>
  <c r="F28" i="12"/>
  <c r="G22" i="12"/>
  <c r="G25" i="12" s="1"/>
  <c r="G27" i="12" s="1"/>
  <c r="G38" i="12"/>
  <c r="G40" i="12" s="1"/>
  <c r="G37" i="12"/>
  <c r="E14" i="12"/>
  <c r="F26" i="12"/>
  <c r="F17" i="9"/>
  <c r="J30" i="9" s="1"/>
  <c r="C16" i="12"/>
  <c r="D16" i="12" s="1"/>
  <c r="E16" i="12" s="1"/>
  <c r="C41" i="12"/>
  <c r="D41" i="12" s="1"/>
  <c r="E41" i="12" s="1"/>
  <c r="F41" i="12" s="1"/>
  <c r="H22" i="12"/>
  <c r="H25" i="12" s="1"/>
  <c r="G6" i="12"/>
  <c r="G13" i="12" s="1"/>
  <c r="F23" i="12"/>
  <c r="F12" i="12"/>
  <c r="F15" i="12"/>
  <c r="F39" i="12"/>
  <c r="H36" i="12"/>
  <c r="H30" i="9"/>
  <c r="P30" i="9"/>
  <c r="X30" i="9"/>
  <c r="X36" i="9" s="1"/>
  <c r="AF30" i="9"/>
  <c r="AF36" i="9" s="1"/>
  <c r="AN30" i="9"/>
  <c r="AN36" i="9" s="1"/>
  <c r="AV30" i="9"/>
  <c r="AV36" i="9" s="1"/>
  <c r="BB30" i="9"/>
  <c r="BB36" i="9" s="1"/>
  <c r="BF30" i="9"/>
  <c r="BF36" i="9" s="1"/>
  <c r="H63" i="9"/>
  <c r="I30" i="9"/>
  <c r="M30" i="9"/>
  <c r="Q30" i="9"/>
  <c r="U30" i="9"/>
  <c r="Y30" i="9"/>
  <c r="Y36" i="9" s="1"/>
  <c r="AC30" i="9"/>
  <c r="AC36" i="9" s="1"/>
  <c r="AG30" i="9"/>
  <c r="AG36" i="9" s="1"/>
  <c r="AK30" i="9"/>
  <c r="AK36" i="9" s="1"/>
  <c r="AO30" i="9"/>
  <c r="AO36" i="9" s="1"/>
  <c r="AS30" i="9"/>
  <c r="AS36" i="9" s="1"/>
  <c r="AW30" i="9"/>
  <c r="AW36" i="9" s="1"/>
  <c r="BA30" i="9"/>
  <c r="BA36" i="9" s="1"/>
  <c r="BE30" i="9"/>
  <c r="BE36" i="9" s="1"/>
  <c r="H57" i="9"/>
  <c r="DA1" i="12"/>
  <c r="CZ15" i="12"/>
  <c r="CZ27" i="12"/>
  <c r="CZ40" i="12"/>
  <c r="X13" i="9"/>
  <c r="X52" i="9" s="1"/>
  <c r="Y16" i="9"/>
  <c r="AB12" i="9"/>
  <c r="AB20" i="9"/>
  <c r="Y18" i="9"/>
  <c r="Y27" i="9" s="1"/>
  <c r="Z10" i="9"/>
  <c r="Z21" i="9"/>
  <c r="Z19" i="9"/>
  <c r="B68" i="4"/>
  <c r="F16" i="12" l="1"/>
  <c r="G24" i="12"/>
  <c r="F52" i="9"/>
  <c r="BC30" i="9"/>
  <c r="BC36" i="9" s="1"/>
  <c r="AY30" i="9"/>
  <c r="AY36" i="9" s="1"/>
  <c r="AU30" i="9"/>
  <c r="AU36" i="9" s="1"/>
  <c r="AQ30" i="9"/>
  <c r="AQ36" i="9" s="1"/>
  <c r="AM30" i="9"/>
  <c r="AM36" i="9" s="1"/>
  <c r="AI30" i="9"/>
  <c r="AI36" i="9" s="1"/>
  <c r="AE30" i="9"/>
  <c r="AE36" i="9" s="1"/>
  <c r="AA30" i="9"/>
  <c r="AA36" i="9" s="1"/>
  <c r="W30" i="9"/>
  <c r="W36" i="9" s="1"/>
  <c r="S30" i="9"/>
  <c r="S31" i="9" s="1"/>
  <c r="S33" i="9" s="1"/>
  <c r="S34" i="9" s="1"/>
  <c r="O30" i="9"/>
  <c r="O31" i="9" s="1"/>
  <c r="O33" i="9" s="1"/>
  <c r="O34" i="9" s="1"/>
  <c r="K30" i="9"/>
  <c r="K31" i="9" s="1"/>
  <c r="K33" i="9" s="1"/>
  <c r="K34" i="9" s="1"/>
  <c r="G30" i="9"/>
  <c r="G36" i="9" s="1"/>
  <c r="F37" i="9"/>
  <c r="F38" i="9" s="1"/>
  <c r="F40" i="9" s="1"/>
  <c r="BD30" i="9"/>
  <c r="BD36" i="9" s="1"/>
  <c r="AZ30" i="9"/>
  <c r="AZ36" i="9" s="1"/>
  <c r="AR30" i="9"/>
  <c r="AR36" i="9" s="1"/>
  <c r="AJ30" i="9"/>
  <c r="AJ36" i="9" s="1"/>
  <c r="AB30" i="9"/>
  <c r="AB36" i="9" s="1"/>
  <c r="T30" i="9"/>
  <c r="T31" i="9" s="1"/>
  <c r="L30" i="9"/>
  <c r="L31" i="9" s="1"/>
  <c r="G28" i="12"/>
  <c r="Y31" i="9"/>
  <c r="Y33" i="9" s="1"/>
  <c r="Y34" i="9" s="1"/>
  <c r="AX30" i="9"/>
  <c r="AX36" i="9" s="1"/>
  <c r="AT30" i="9"/>
  <c r="AT36" i="9" s="1"/>
  <c r="AP30" i="9"/>
  <c r="AP36" i="9" s="1"/>
  <c r="AL30" i="9"/>
  <c r="AL36" i="9" s="1"/>
  <c r="AH30" i="9"/>
  <c r="AH36" i="9" s="1"/>
  <c r="AD30" i="9"/>
  <c r="AD36" i="9" s="1"/>
  <c r="Z30" i="9"/>
  <c r="Z36" i="9" s="1"/>
  <c r="V30" i="9"/>
  <c r="V36" i="9" s="1"/>
  <c r="R30" i="9"/>
  <c r="R31" i="9" s="1"/>
  <c r="N30" i="9"/>
  <c r="N36" i="9" s="1"/>
  <c r="H37" i="12"/>
  <c r="H38" i="12"/>
  <c r="H40" i="12" s="1"/>
  <c r="G41" i="12"/>
  <c r="F14" i="12"/>
  <c r="I22" i="12"/>
  <c r="I25" i="12" s="1"/>
  <c r="H27" i="12"/>
  <c r="H24" i="12"/>
  <c r="G26" i="12"/>
  <c r="H26" i="12" s="1"/>
  <c r="G23" i="12"/>
  <c r="H6" i="12"/>
  <c r="H13" i="12" s="1"/>
  <c r="G12" i="12"/>
  <c r="G15" i="12"/>
  <c r="G39" i="12"/>
  <c r="I36" i="12"/>
  <c r="S36" i="9"/>
  <c r="P36" i="9"/>
  <c r="P31" i="9"/>
  <c r="H36" i="9"/>
  <c r="H31" i="9"/>
  <c r="U36" i="9"/>
  <c r="U31" i="9"/>
  <c r="U33" i="9" s="1"/>
  <c r="U34" i="9" s="1"/>
  <c r="Q36" i="9"/>
  <c r="Q31" i="9"/>
  <c r="M36" i="9"/>
  <c r="M31" i="9"/>
  <c r="I36" i="9"/>
  <c r="I31" i="9"/>
  <c r="J36" i="9"/>
  <c r="J31" i="9"/>
  <c r="X31" i="9"/>
  <c r="DB1" i="12"/>
  <c r="DA15" i="12"/>
  <c r="DA27" i="12"/>
  <c r="DA40" i="12"/>
  <c r="AA19" i="9"/>
  <c r="AA10" i="9"/>
  <c r="AA21" i="9"/>
  <c r="AC20" i="9"/>
  <c r="AC12" i="9"/>
  <c r="Z18" i="9"/>
  <c r="Z27" i="9" s="1"/>
  <c r="Y13" i="9"/>
  <c r="Y52" i="9" s="1"/>
  <c r="Z16" i="9"/>
  <c r="T36" i="9" l="1"/>
  <c r="K36" i="9"/>
  <c r="K51" i="9" s="1"/>
  <c r="G16" i="12"/>
  <c r="L36" i="9"/>
  <c r="G31" i="9"/>
  <c r="G33" i="9" s="1"/>
  <c r="G34" i="9" s="1"/>
  <c r="O36" i="9"/>
  <c r="O51" i="9" s="1"/>
  <c r="W31" i="9"/>
  <c r="W33" i="9" s="1"/>
  <c r="W34" i="9" s="1"/>
  <c r="R36" i="9"/>
  <c r="Z31" i="9"/>
  <c r="Z33" i="9" s="1"/>
  <c r="Z34" i="9" s="1"/>
  <c r="H28" i="12"/>
  <c r="N31" i="9"/>
  <c r="N33" i="9" s="1"/>
  <c r="N34" i="9" s="1"/>
  <c r="N51" i="9" s="1"/>
  <c r="V31" i="9"/>
  <c r="V33" i="9" s="1"/>
  <c r="V34" i="9" s="1"/>
  <c r="I38" i="12"/>
  <c r="I40" i="12" s="1"/>
  <c r="I37" i="12"/>
  <c r="H41" i="12"/>
  <c r="G14" i="12"/>
  <c r="H23" i="12"/>
  <c r="I6" i="12"/>
  <c r="I13" i="12" s="1"/>
  <c r="H12" i="12"/>
  <c r="H15" i="12"/>
  <c r="J22" i="12"/>
  <c r="J25" i="12" s="1"/>
  <c r="I24" i="12"/>
  <c r="I27" i="12"/>
  <c r="H39" i="12"/>
  <c r="J36" i="12"/>
  <c r="X33" i="9"/>
  <c r="X34" i="9" s="1"/>
  <c r="J33" i="9"/>
  <c r="J34" i="9" s="1"/>
  <c r="R33" i="9"/>
  <c r="R34" i="9" s="1"/>
  <c r="I33" i="9"/>
  <c r="I34" i="9" s="1"/>
  <c r="M33" i="9"/>
  <c r="M34" i="9" s="1"/>
  <c r="Q33" i="9"/>
  <c r="Q34" i="9" s="1"/>
  <c r="U37" i="9"/>
  <c r="U38" i="9" s="1"/>
  <c r="U51" i="9"/>
  <c r="H33" i="9"/>
  <c r="H34" i="9" s="1"/>
  <c r="L33" i="9"/>
  <c r="L34" i="9" s="1"/>
  <c r="P33" i="9"/>
  <c r="P34" i="9" s="1"/>
  <c r="T33" i="9"/>
  <c r="T34" i="9" s="1"/>
  <c r="K37" i="9"/>
  <c r="K38" i="9" s="1"/>
  <c r="O37" i="9"/>
  <c r="O38" i="9" s="1"/>
  <c r="S51" i="9"/>
  <c r="S37" i="9"/>
  <c r="S38" i="9" s="1"/>
  <c r="DC1" i="12"/>
  <c r="DB15" i="12"/>
  <c r="DB27" i="12"/>
  <c r="DB40" i="12"/>
  <c r="Y37" i="9"/>
  <c r="Y38" i="9" s="1"/>
  <c r="Y51" i="9"/>
  <c r="AB10" i="9"/>
  <c r="AB21" i="9"/>
  <c r="AB19" i="9"/>
  <c r="AA13" i="9"/>
  <c r="AA52" i="9" s="1"/>
  <c r="Z13" i="9"/>
  <c r="Z52" i="9" s="1"/>
  <c r="AA16" i="9"/>
  <c r="AA18" i="9"/>
  <c r="AA27" i="9" s="1"/>
  <c r="AA31" i="9" s="1"/>
  <c r="AD12" i="9"/>
  <c r="AD20" i="9"/>
  <c r="H16" i="12" l="1"/>
  <c r="I28" i="12"/>
  <c r="N37" i="9"/>
  <c r="N38" i="9" s="1"/>
  <c r="J37" i="12"/>
  <c r="J38" i="12"/>
  <c r="J40" i="12" s="1"/>
  <c r="I41" i="12"/>
  <c r="H14" i="12"/>
  <c r="I23" i="12"/>
  <c r="J6" i="12"/>
  <c r="J13" i="12" s="1"/>
  <c r="I15" i="12"/>
  <c r="I12" i="12"/>
  <c r="I26" i="12"/>
  <c r="K22" i="12"/>
  <c r="K25" i="12" s="1"/>
  <c r="J24" i="12"/>
  <c r="J27" i="12"/>
  <c r="I39" i="12"/>
  <c r="K36" i="12"/>
  <c r="T51" i="9"/>
  <c r="T37" i="9"/>
  <c r="T38" i="9" s="1"/>
  <c r="H37" i="9"/>
  <c r="H38" i="9" s="1"/>
  <c r="H51" i="9"/>
  <c r="M37" i="9"/>
  <c r="M38" i="9" s="1"/>
  <c r="M51" i="9"/>
  <c r="R37" i="9"/>
  <c r="R38" i="9" s="1"/>
  <c r="R51" i="9"/>
  <c r="X37" i="9"/>
  <c r="X38" i="9" s="1"/>
  <c r="X51" i="9"/>
  <c r="G37" i="9"/>
  <c r="G38" i="9" s="1"/>
  <c r="G51" i="9"/>
  <c r="P37" i="9"/>
  <c r="P38" i="9" s="1"/>
  <c r="P51" i="9"/>
  <c r="Q51" i="9"/>
  <c r="Q37" i="9"/>
  <c r="Q38" i="9" s="1"/>
  <c r="I37" i="9"/>
  <c r="I38" i="9" s="1"/>
  <c r="I51" i="9"/>
  <c r="J51" i="9"/>
  <c r="J37" i="9"/>
  <c r="J38" i="9" s="1"/>
  <c r="W37" i="9"/>
  <c r="W38" i="9" s="1"/>
  <c r="W51" i="9"/>
  <c r="L37" i="9"/>
  <c r="L38" i="9" s="1"/>
  <c r="L51" i="9"/>
  <c r="V37" i="9"/>
  <c r="V38" i="9" s="1"/>
  <c r="V51" i="9"/>
  <c r="DD1" i="12"/>
  <c r="DC15" i="12"/>
  <c r="DC27" i="12"/>
  <c r="DC40" i="12"/>
  <c r="AE20" i="9"/>
  <c r="AE12" i="9"/>
  <c r="Z37" i="9"/>
  <c r="Z51" i="9"/>
  <c r="AB16" i="9"/>
  <c r="AB13" i="9"/>
  <c r="AB52" i="9" s="1"/>
  <c r="AA33" i="9"/>
  <c r="AA34" i="9" s="1"/>
  <c r="AC19" i="9"/>
  <c r="AC10" i="9"/>
  <c r="AC21" i="9"/>
  <c r="AB18" i="9"/>
  <c r="AB27" i="9" s="1"/>
  <c r="AB31" i="9" s="1"/>
  <c r="I16" i="12" l="1"/>
  <c r="J28" i="12"/>
  <c r="J41" i="12"/>
  <c r="K38" i="12"/>
  <c r="K40" i="12" s="1"/>
  <c r="K37" i="12"/>
  <c r="I14" i="12"/>
  <c r="J23" i="12"/>
  <c r="K6" i="12"/>
  <c r="K13" i="12" s="1"/>
  <c r="J12" i="12"/>
  <c r="J15" i="12"/>
  <c r="J26" i="12"/>
  <c r="L22" i="12"/>
  <c r="L25" i="12" s="1"/>
  <c r="K24" i="12"/>
  <c r="K27" i="12"/>
  <c r="K28" i="12" s="1"/>
  <c r="J39" i="12"/>
  <c r="L36" i="12"/>
  <c r="H62" i="9"/>
  <c r="G40" i="9"/>
  <c r="G46" i="9"/>
  <c r="DE1" i="12"/>
  <c r="DD15" i="12"/>
  <c r="DD27" i="12"/>
  <c r="DD40" i="12"/>
  <c r="AA37" i="9"/>
  <c r="AA38" i="9" s="1"/>
  <c r="AA51" i="9"/>
  <c r="AF12" i="9"/>
  <c r="AF20" i="9"/>
  <c r="AB33" i="9"/>
  <c r="AB34" i="9" s="1"/>
  <c r="AD10" i="9"/>
  <c r="AD21" i="9"/>
  <c r="AD19" i="9"/>
  <c r="AD18" i="9" s="1"/>
  <c r="AD27" i="9" s="1"/>
  <c r="AD31" i="9" s="1"/>
  <c r="AC13" i="9"/>
  <c r="AC52" i="9" s="1"/>
  <c r="AC16" i="9"/>
  <c r="Z38" i="9"/>
  <c r="H65" i="9"/>
  <c r="AC18" i="9"/>
  <c r="AC27" i="9" s="1"/>
  <c r="AC31" i="9" s="1"/>
  <c r="J16" i="12" l="1"/>
  <c r="K41" i="12"/>
  <c r="L37" i="12"/>
  <c r="L38" i="12"/>
  <c r="J14" i="12"/>
  <c r="K26" i="12"/>
  <c r="M22" i="12"/>
  <c r="M25" i="12" s="1"/>
  <c r="L24" i="12"/>
  <c r="L27" i="12"/>
  <c r="L28" i="12" s="1"/>
  <c r="K23" i="12"/>
  <c r="L6" i="12"/>
  <c r="L13" i="12" s="1"/>
  <c r="K12" i="12"/>
  <c r="K15" i="12"/>
  <c r="K16" i="12" s="1"/>
  <c r="K39" i="12"/>
  <c r="M36" i="12"/>
  <c r="L40" i="12"/>
  <c r="L41" i="12" s="1"/>
  <c r="G45" i="9"/>
  <c r="G48" i="9" s="1"/>
  <c r="H46" i="9"/>
  <c r="H40" i="9"/>
  <c r="DF1" i="12"/>
  <c r="DE15" i="12"/>
  <c r="DE27" i="12"/>
  <c r="DE40" i="12"/>
  <c r="AB37" i="9"/>
  <c r="AB38" i="9" s="1"/>
  <c r="AB51" i="9"/>
  <c r="AD16" i="9"/>
  <c r="AD13" i="9"/>
  <c r="AD52" i="9" s="1"/>
  <c r="AG20" i="9"/>
  <c r="AG12" i="9"/>
  <c r="AC33" i="9"/>
  <c r="AC34" i="9" s="1"/>
  <c r="AD33" i="9"/>
  <c r="AD34" i="9" s="1"/>
  <c r="AE19" i="9"/>
  <c r="AE10" i="9"/>
  <c r="AE21" i="9"/>
  <c r="AE18" i="9" l="1"/>
  <c r="AE27" i="9" s="1"/>
  <c r="AE31" i="9" s="1"/>
  <c r="M38" i="12"/>
  <c r="M40" i="12" s="1"/>
  <c r="M41" i="12" s="1"/>
  <c r="M37" i="12"/>
  <c r="L23" i="12"/>
  <c r="M6" i="12"/>
  <c r="M13" i="12" s="1"/>
  <c r="L12" i="12"/>
  <c r="L15" i="12"/>
  <c r="L16" i="12" s="1"/>
  <c r="N22" i="12"/>
  <c r="N25" i="12" s="1"/>
  <c r="M24" i="12"/>
  <c r="M27" i="12"/>
  <c r="M28" i="12" s="1"/>
  <c r="K14" i="12"/>
  <c r="L26" i="12"/>
  <c r="M26" i="12" s="1"/>
  <c r="L39" i="12"/>
  <c r="N36" i="12"/>
  <c r="I40" i="9"/>
  <c r="H45" i="9"/>
  <c r="H48" i="9" s="1"/>
  <c r="I46" i="9"/>
  <c r="DG1" i="12"/>
  <c r="DF15" i="12"/>
  <c r="DF27" i="12"/>
  <c r="DF40" i="12"/>
  <c r="AD37" i="9"/>
  <c r="AD38" i="9" s="1"/>
  <c r="AD51" i="9"/>
  <c r="AC37" i="9"/>
  <c r="AC38" i="9" s="1"/>
  <c r="AC51" i="9"/>
  <c r="AF10" i="9"/>
  <c r="AF21" i="9"/>
  <c r="AF19" i="9"/>
  <c r="AF18" i="9" s="1"/>
  <c r="AF27" i="9" s="1"/>
  <c r="AF31" i="9" s="1"/>
  <c r="AE13" i="9"/>
  <c r="AE52" i="9" s="1"/>
  <c r="AE16" i="9"/>
  <c r="AE33" i="9"/>
  <c r="AE34" i="9" s="1"/>
  <c r="AH12" i="9"/>
  <c r="AH20" i="9"/>
  <c r="N37" i="12" l="1"/>
  <c r="N38" i="12"/>
  <c r="L14" i="12"/>
  <c r="O22" i="12"/>
  <c r="O25" i="12" s="1"/>
  <c r="N27" i="12"/>
  <c r="N28" i="12" s="1"/>
  <c r="N24" i="12"/>
  <c r="M23" i="12"/>
  <c r="N6" i="12"/>
  <c r="N13" i="12" s="1"/>
  <c r="M15" i="12"/>
  <c r="M16" i="12" s="1"/>
  <c r="M12" i="12"/>
  <c r="M14" i="12"/>
  <c r="M39" i="12"/>
  <c r="O36" i="12"/>
  <c r="N40" i="12"/>
  <c r="N41" i="12" s="1"/>
  <c r="J46" i="9"/>
  <c r="J40" i="9"/>
  <c r="I45" i="9"/>
  <c r="I48" i="9" s="1"/>
  <c r="DH1" i="12"/>
  <c r="DG15" i="12"/>
  <c r="DG27" i="12"/>
  <c r="DG40" i="12"/>
  <c r="AF16" i="9"/>
  <c r="AF13" i="9"/>
  <c r="AF52" i="9" s="1"/>
  <c r="AF33" i="9"/>
  <c r="AF34" i="9" s="1"/>
  <c r="AG19" i="9"/>
  <c r="AG10" i="9"/>
  <c r="AG21" i="9"/>
  <c r="AI20" i="9"/>
  <c r="AI12" i="9"/>
  <c r="AE37" i="9"/>
  <c r="AE38" i="9" s="1"/>
  <c r="AE51" i="9"/>
  <c r="O38" i="12" l="1"/>
  <c r="O37" i="12"/>
  <c r="N26" i="12"/>
  <c r="P22" i="12"/>
  <c r="P25" i="12" s="1"/>
  <c r="O27" i="12"/>
  <c r="O28" i="12" s="1"/>
  <c r="O24" i="12"/>
  <c r="O6" i="12"/>
  <c r="O13" i="12" s="1"/>
  <c r="N23" i="12"/>
  <c r="N12" i="12"/>
  <c r="N15" i="12"/>
  <c r="N16" i="12" s="1"/>
  <c r="O26" i="12"/>
  <c r="P36" i="12"/>
  <c r="O40" i="12"/>
  <c r="O41" i="12" s="1"/>
  <c r="N39" i="12"/>
  <c r="J45" i="9"/>
  <c r="J48" i="9" s="1"/>
  <c r="K46" i="9"/>
  <c r="K40" i="9"/>
  <c r="DI1" i="12"/>
  <c r="DH15" i="12"/>
  <c r="DH27" i="12"/>
  <c r="DH40" i="12"/>
  <c r="AJ12" i="9"/>
  <c r="AJ20" i="9"/>
  <c r="AG13" i="9"/>
  <c r="AG52" i="9" s="1"/>
  <c r="AG16" i="9"/>
  <c r="AG18" i="9"/>
  <c r="AG27" i="9" s="1"/>
  <c r="AG31" i="9" s="1"/>
  <c r="AH10" i="9"/>
  <c r="AH21" i="9"/>
  <c r="AH19" i="9"/>
  <c r="AF37" i="9"/>
  <c r="AF38" i="9" s="1"/>
  <c r="AF51" i="9"/>
  <c r="P37" i="12" l="1"/>
  <c r="P38" i="12"/>
  <c r="P40" i="12" s="1"/>
  <c r="P41" i="12" s="1"/>
  <c r="P6" i="12"/>
  <c r="P13" i="12" s="1"/>
  <c r="O23" i="12"/>
  <c r="O12" i="12"/>
  <c r="O15" i="12"/>
  <c r="O16" i="12" s="1"/>
  <c r="Q22" i="12"/>
  <c r="Q25" i="12" s="1"/>
  <c r="P24" i="12"/>
  <c r="P27" i="12"/>
  <c r="P28" i="12" s="1"/>
  <c r="P26" i="12"/>
  <c r="N14" i="12"/>
  <c r="Q36" i="12"/>
  <c r="O39" i="12"/>
  <c r="L46" i="9"/>
  <c r="H58" i="9"/>
  <c r="L40" i="9"/>
  <c r="K45" i="9"/>
  <c r="K48" i="9" s="1"/>
  <c r="DJ1" i="12"/>
  <c r="DI15" i="12"/>
  <c r="DI27" i="12"/>
  <c r="DI40" i="12"/>
  <c r="AG33" i="9"/>
  <c r="AG34" i="9" s="1"/>
  <c r="AK20" i="9"/>
  <c r="AK12" i="9"/>
  <c r="AI19" i="9"/>
  <c r="AI10" i="9"/>
  <c r="AI21" i="9"/>
  <c r="AH16" i="9"/>
  <c r="AH13" i="9"/>
  <c r="AH52" i="9" s="1"/>
  <c r="AH18" i="9"/>
  <c r="AH27" i="9" s="1"/>
  <c r="AH31" i="9" s="1"/>
  <c r="Q38" i="12" l="1"/>
  <c r="Q37" i="12"/>
  <c r="O14" i="12"/>
  <c r="R22" i="12"/>
  <c r="R25" i="12" s="1"/>
  <c r="Q24" i="12"/>
  <c r="Q27" i="12"/>
  <c r="Q28" i="12" s="1"/>
  <c r="E5" i="14"/>
  <c r="P23" i="12"/>
  <c r="Q6" i="12"/>
  <c r="Q13" i="12" s="1"/>
  <c r="P12" i="12"/>
  <c r="P15" i="12"/>
  <c r="P16" i="12" s="1"/>
  <c r="Q26" i="12"/>
  <c r="P39" i="12"/>
  <c r="R36" i="12"/>
  <c r="Q40" i="12"/>
  <c r="Q41" i="12" s="1"/>
  <c r="M40" i="9"/>
  <c r="L45" i="9"/>
  <c r="L48" i="9" s="1"/>
  <c r="M46" i="9"/>
  <c r="DK1" i="12"/>
  <c r="DJ15" i="12"/>
  <c r="DJ27" i="12"/>
  <c r="DJ40" i="12"/>
  <c r="AI13" i="9"/>
  <c r="AI52" i="9" s="1"/>
  <c r="AI16" i="9"/>
  <c r="AJ10" i="9"/>
  <c r="AJ21" i="9"/>
  <c r="AJ19" i="9"/>
  <c r="AL12" i="9"/>
  <c r="AL20" i="9"/>
  <c r="AG37" i="9"/>
  <c r="AG38" i="9" s="1"/>
  <c r="AG51" i="9"/>
  <c r="AH33" i="9"/>
  <c r="AH34" i="9" s="1"/>
  <c r="AI18" i="9"/>
  <c r="AI27" i="9" s="1"/>
  <c r="AI31" i="9" s="1"/>
  <c r="R37" i="12" l="1"/>
  <c r="R38" i="12"/>
  <c r="R6" i="12"/>
  <c r="R13" i="12" s="1"/>
  <c r="Q23" i="12"/>
  <c r="Q12" i="12"/>
  <c r="Q15" i="12"/>
  <c r="Q16" i="12" s="1"/>
  <c r="E5" i="15"/>
  <c r="G5" i="14"/>
  <c r="D34" i="14" s="1"/>
  <c r="E34" i="14" s="1"/>
  <c r="S22" i="12"/>
  <c r="S25" i="12" s="1"/>
  <c r="R24" i="12"/>
  <c r="R27" i="12"/>
  <c r="R28" i="12" s="1"/>
  <c r="R26" i="12"/>
  <c r="P14" i="12"/>
  <c r="Q39" i="12"/>
  <c r="S36" i="12"/>
  <c r="R40" i="12"/>
  <c r="R41" i="12" s="1"/>
  <c r="N40" i="9"/>
  <c r="M45" i="9"/>
  <c r="M48" i="9" s="1"/>
  <c r="N46" i="9"/>
  <c r="DL1" i="12"/>
  <c r="DK15" i="12"/>
  <c r="DK27" i="12"/>
  <c r="DK40" i="12"/>
  <c r="AH37" i="9"/>
  <c r="AH38" i="9" s="1"/>
  <c r="AH51" i="9"/>
  <c r="AM20" i="9"/>
  <c r="AM12" i="9"/>
  <c r="AJ16" i="9"/>
  <c r="AJ13" i="9"/>
  <c r="AJ52" i="9" s="1"/>
  <c r="AI33" i="9"/>
  <c r="AI34" i="9" s="1"/>
  <c r="AK19" i="9"/>
  <c r="AK10" i="9"/>
  <c r="AK21" i="9"/>
  <c r="AJ18" i="9"/>
  <c r="AJ27" i="9" s="1"/>
  <c r="AJ31" i="9" s="1"/>
  <c r="AK18" i="9" l="1"/>
  <c r="AK27" i="9" s="1"/>
  <c r="AK31" i="9" s="1"/>
  <c r="AK33" i="9" s="1"/>
  <c r="AK34" i="9" s="1"/>
  <c r="S38" i="12"/>
  <c r="S37" i="12"/>
  <c r="R39" i="12"/>
  <c r="Q14" i="12"/>
  <c r="T22" i="12"/>
  <c r="T25" i="12" s="1"/>
  <c r="S24" i="12"/>
  <c r="S27" i="12"/>
  <c r="S28" i="12" s="1"/>
  <c r="S6" i="12"/>
  <c r="S13" i="12" s="1"/>
  <c r="R23" i="12"/>
  <c r="R12" i="12"/>
  <c r="R15" i="12"/>
  <c r="R16" i="12" s="1"/>
  <c r="T36" i="12"/>
  <c r="S40" i="12"/>
  <c r="S41" i="12" s="1"/>
  <c r="N45" i="9"/>
  <c r="N48" i="9" s="1"/>
  <c r="O46" i="9"/>
  <c r="O40" i="9"/>
  <c r="DM1" i="12"/>
  <c r="DL15" i="12"/>
  <c r="DL27" i="12"/>
  <c r="DL40" i="12"/>
  <c r="AI37" i="9"/>
  <c r="AI38" i="9" s="1"/>
  <c r="AI51" i="9"/>
  <c r="AJ33" i="9"/>
  <c r="AJ34" i="9" s="1"/>
  <c r="AL10" i="9"/>
  <c r="AL21" i="9"/>
  <c r="AL19" i="9"/>
  <c r="AN12" i="9"/>
  <c r="AN20" i="9"/>
  <c r="AK13" i="9"/>
  <c r="AK52" i="9" s="1"/>
  <c r="AK16" i="9"/>
  <c r="AL18" i="9" l="1"/>
  <c r="AL27" i="9" s="1"/>
  <c r="AL31" i="9" s="1"/>
  <c r="T37" i="12"/>
  <c r="T38" i="12"/>
  <c r="S26" i="12"/>
  <c r="U22" i="12"/>
  <c r="U25" i="12" s="1"/>
  <c r="T24" i="12"/>
  <c r="T27" i="12"/>
  <c r="T28" i="12" s="1"/>
  <c r="T6" i="12"/>
  <c r="T13" i="12" s="1"/>
  <c r="S23" i="12"/>
  <c r="S12" i="12"/>
  <c r="S15" i="12"/>
  <c r="S16" i="12" s="1"/>
  <c r="R14" i="12"/>
  <c r="S39" i="12"/>
  <c r="U36" i="12"/>
  <c r="T40" i="12"/>
  <c r="T41" i="12" s="1"/>
  <c r="P46" i="9"/>
  <c r="P40" i="9"/>
  <c r="O45" i="9"/>
  <c r="O48" i="9" s="1"/>
  <c r="DN1" i="12"/>
  <c r="DM15" i="12"/>
  <c r="DM27" i="12"/>
  <c r="DM40" i="12"/>
  <c r="AJ37" i="9"/>
  <c r="AJ38" i="9" s="1"/>
  <c r="AJ51" i="9"/>
  <c r="AL16" i="9"/>
  <c r="AL13" i="9"/>
  <c r="AL52" i="9" s="1"/>
  <c r="AL33" i="9"/>
  <c r="AL34" i="9" s="1"/>
  <c r="AM19" i="9"/>
  <c r="AM10" i="9"/>
  <c r="AM21" i="9"/>
  <c r="AO20" i="9"/>
  <c r="AO12" i="9"/>
  <c r="AK37" i="9"/>
  <c r="AK38" i="9" s="1"/>
  <c r="AK51" i="9"/>
  <c r="U38" i="12" l="1"/>
  <c r="U40" i="12" s="1"/>
  <c r="U41" i="12" s="1"/>
  <c r="U37" i="12"/>
  <c r="S14" i="12"/>
  <c r="U6" i="12"/>
  <c r="U13" i="12" s="1"/>
  <c r="T23" i="12"/>
  <c r="T15" i="12"/>
  <c r="T16" i="12" s="1"/>
  <c r="T12" i="12"/>
  <c r="V22" i="12"/>
  <c r="V25" i="12" s="1"/>
  <c r="U24" i="12"/>
  <c r="U27" i="12"/>
  <c r="U28" i="12" s="1"/>
  <c r="T26" i="12"/>
  <c r="T39" i="12"/>
  <c r="V36" i="12"/>
  <c r="Q40" i="9"/>
  <c r="H59" i="9"/>
  <c r="Q46" i="9"/>
  <c r="P45" i="9"/>
  <c r="P48" i="9" s="1"/>
  <c r="DO1" i="12"/>
  <c r="DN15" i="12"/>
  <c r="DN27" i="12"/>
  <c r="DN40" i="12"/>
  <c r="AN10" i="9"/>
  <c r="AN21" i="9"/>
  <c r="AN19" i="9"/>
  <c r="AL37" i="9"/>
  <c r="AL38" i="9" s="1"/>
  <c r="AL51" i="9"/>
  <c r="AP12" i="9"/>
  <c r="AP20" i="9"/>
  <c r="AM13" i="9"/>
  <c r="AM52" i="9" s="1"/>
  <c r="AM16" i="9"/>
  <c r="AM18" i="9"/>
  <c r="AM27" i="9" s="1"/>
  <c r="AM31" i="9" s="1"/>
  <c r="V37" i="12" l="1"/>
  <c r="V38" i="12"/>
  <c r="V40" i="12" s="1"/>
  <c r="V41" i="12" s="1"/>
  <c r="U26" i="12"/>
  <c r="T14" i="12"/>
  <c r="W22" i="12"/>
  <c r="W25" i="12" s="1"/>
  <c r="V24" i="12"/>
  <c r="V27" i="12"/>
  <c r="V28" i="12" s="1"/>
  <c r="V6" i="12"/>
  <c r="V13" i="12" s="1"/>
  <c r="U23" i="12"/>
  <c r="U12" i="12"/>
  <c r="U15" i="12"/>
  <c r="U16" i="12" s="1"/>
  <c r="U39" i="12"/>
  <c r="W36" i="12"/>
  <c r="R40" i="9"/>
  <c r="Q45" i="9"/>
  <c r="Q48" i="9" s="1"/>
  <c r="R46" i="9"/>
  <c r="DP1" i="12"/>
  <c r="DO15" i="12"/>
  <c r="DO27" i="12"/>
  <c r="DO40" i="12"/>
  <c r="AN16" i="9"/>
  <c r="AN13" i="9"/>
  <c r="AN52" i="9" s="1"/>
  <c r="AM33" i="9"/>
  <c r="AM34" i="9" s="1"/>
  <c r="AQ20" i="9"/>
  <c r="AQ12" i="9"/>
  <c r="AO19" i="9"/>
  <c r="AO10" i="9"/>
  <c r="AO21" i="9"/>
  <c r="AN18" i="9"/>
  <c r="AN27" i="9" s="1"/>
  <c r="AN31" i="9" s="1"/>
  <c r="W38" i="12" l="1"/>
  <c r="W40" i="12" s="1"/>
  <c r="W41" i="12" s="1"/>
  <c r="W37" i="12"/>
  <c r="U14" i="12"/>
  <c r="V26" i="12"/>
  <c r="X22" i="12"/>
  <c r="X25" i="12" s="1"/>
  <c r="W24" i="12"/>
  <c r="W27" i="12"/>
  <c r="W28" i="12" s="1"/>
  <c r="W6" i="12"/>
  <c r="W13" i="12" s="1"/>
  <c r="V23" i="12"/>
  <c r="V12" i="12"/>
  <c r="V15" i="12"/>
  <c r="V16" i="12" s="1"/>
  <c r="V39" i="12"/>
  <c r="X36" i="12"/>
  <c r="R45" i="9"/>
  <c r="R48" i="9" s="1"/>
  <c r="S46" i="9"/>
  <c r="S40" i="9"/>
  <c r="DQ1" i="12"/>
  <c r="DP15" i="12"/>
  <c r="DP27" i="12"/>
  <c r="DP40" i="12"/>
  <c r="AN33" i="9"/>
  <c r="AN34" i="9" s="1"/>
  <c r="AP10" i="9"/>
  <c r="AP21" i="9"/>
  <c r="AP19" i="9"/>
  <c r="AM37" i="9"/>
  <c r="AM38" i="9" s="1"/>
  <c r="AM51" i="9"/>
  <c r="AO13" i="9"/>
  <c r="AO52" i="9" s="1"/>
  <c r="AO16" i="9"/>
  <c r="AO18" i="9"/>
  <c r="AO27" i="9" s="1"/>
  <c r="AO31" i="9" s="1"/>
  <c r="AR12" i="9"/>
  <c r="AR20" i="9"/>
  <c r="AP18" i="9" l="1"/>
  <c r="AP27" i="9" s="1"/>
  <c r="AP31" i="9" s="1"/>
  <c r="X37" i="12"/>
  <c r="X38" i="12"/>
  <c r="W26" i="12"/>
  <c r="W23" i="12"/>
  <c r="X6" i="12"/>
  <c r="X13" i="12" s="1"/>
  <c r="W12" i="12"/>
  <c r="W15" i="12"/>
  <c r="W16" i="12" s="1"/>
  <c r="Y22" i="12"/>
  <c r="Y25" i="12" s="1"/>
  <c r="X24" i="12"/>
  <c r="X27" i="12"/>
  <c r="X28" i="12" s="1"/>
  <c r="V14" i="12"/>
  <c r="W14" i="12" s="1"/>
  <c r="W39" i="12"/>
  <c r="Y36" i="12"/>
  <c r="X40" i="12"/>
  <c r="X41" i="12" s="1"/>
  <c r="T40" i="9"/>
  <c r="S45" i="9"/>
  <c r="S48" i="9" s="1"/>
  <c r="T46" i="9"/>
  <c r="DR1" i="12"/>
  <c r="DQ15" i="12"/>
  <c r="DQ27" i="12"/>
  <c r="DQ40" i="12"/>
  <c r="AN37" i="9"/>
  <c r="AN38" i="9" s="1"/>
  <c r="AN51" i="9"/>
  <c r="AP33" i="9"/>
  <c r="AP34" i="9" s="1"/>
  <c r="AO33" i="9"/>
  <c r="AO34" i="9" s="1"/>
  <c r="AS20" i="9"/>
  <c r="AS12" i="9"/>
  <c r="AP16" i="9"/>
  <c r="AP13" i="9"/>
  <c r="AP52" i="9" s="1"/>
  <c r="AQ19" i="9"/>
  <c r="AQ10" i="9"/>
  <c r="AQ21" i="9"/>
  <c r="Y38" i="12" l="1"/>
  <c r="Y37" i="12"/>
  <c r="X26" i="12"/>
  <c r="Z22" i="12"/>
  <c r="Z25" i="12" s="1"/>
  <c r="Y24" i="12"/>
  <c r="Y27" i="12"/>
  <c r="Y28" i="12" s="1"/>
  <c r="X23" i="12"/>
  <c r="Y6" i="12"/>
  <c r="Y13" i="12" s="1"/>
  <c r="X12" i="12"/>
  <c r="X15" i="12"/>
  <c r="X16" i="12" s="1"/>
  <c r="X39" i="12"/>
  <c r="Z36" i="12"/>
  <c r="Y40" i="12"/>
  <c r="Y41" i="12" s="1"/>
  <c r="U40" i="9"/>
  <c r="T45" i="9"/>
  <c r="T48" i="9" s="1"/>
  <c r="U46" i="9"/>
  <c r="DS1" i="12"/>
  <c r="DR15" i="12"/>
  <c r="DR27" i="12"/>
  <c r="DR40" i="12"/>
  <c r="AQ13" i="9"/>
  <c r="AQ52" i="9" s="1"/>
  <c r="AQ16" i="9"/>
  <c r="AP37" i="9"/>
  <c r="AP38" i="9" s="1"/>
  <c r="AP51" i="9"/>
  <c r="AR10" i="9"/>
  <c r="AR21" i="9"/>
  <c r="AR19" i="9"/>
  <c r="AR18" i="9" s="1"/>
  <c r="AR27" i="9" s="1"/>
  <c r="AR31" i="9" s="1"/>
  <c r="AT12" i="9"/>
  <c r="AT20" i="9"/>
  <c r="AQ18" i="9"/>
  <c r="AQ27" i="9" s="1"/>
  <c r="AQ31" i="9" s="1"/>
  <c r="AO37" i="9"/>
  <c r="AO38" i="9" s="1"/>
  <c r="AO51" i="9"/>
  <c r="Z37" i="12" l="1"/>
  <c r="Z38" i="12"/>
  <c r="Y26" i="12"/>
  <c r="AA22" i="12"/>
  <c r="AA25" i="12" s="1"/>
  <c r="Z24" i="12"/>
  <c r="Z27" i="12"/>
  <c r="Z28" i="12" s="1"/>
  <c r="Z6" i="12"/>
  <c r="Z13" i="12" s="1"/>
  <c r="Y23" i="12"/>
  <c r="Y12" i="12"/>
  <c r="Y15" i="12"/>
  <c r="Y16" i="12" s="1"/>
  <c r="X14" i="12"/>
  <c r="Y39" i="12"/>
  <c r="AA36" i="12"/>
  <c r="Z40" i="12"/>
  <c r="Z41" i="12" s="1"/>
  <c r="V40" i="9"/>
  <c r="U45" i="9"/>
  <c r="U48" i="9" s="1"/>
  <c r="V46" i="9"/>
  <c r="H60" i="9"/>
  <c r="DT1" i="12"/>
  <c r="DS15" i="12"/>
  <c r="DS27" i="12"/>
  <c r="DS40" i="12"/>
  <c r="AR33" i="9"/>
  <c r="AR34" i="9" s="1"/>
  <c r="AR16" i="9"/>
  <c r="AR13" i="9"/>
  <c r="AR52" i="9" s="1"/>
  <c r="AQ33" i="9"/>
  <c r="AQ34" i="9" s="1"/>
  <c r="AU20" i="9"/>
  <c r="AU12" i="9"/>
  <c r="AS19" i="9"/>
  <c r="AS10" i="9"/>
  <c r="AS21" i="9"/>
  <c r="AS18" i="9" l="1"/>
  <c r="AS27" i="9" s="1"/>
  <c r="AS31" i="9" s="1"/>
  <c r="AS33" i="9" s="1"/>
  <c r="AS34" i="9" s="1"/>
  <c r="AA38" i="12"/>
  <c r="AA37" i="12"/>
  <c r="Y14" i="12"/>
  <c r="Z14" i="12" s="1"/>
  <c r="Z26" i="12"/>
  <c r="Z12" i="12"/>
  <c r="Z23" i="12"/>
  <c r="AA6" i="12"/>
  <c r="AA13" i="12" s="1"/>
  <c r="Z15" i="12"/>
  <c r="Z16" i="12" s="1"/>
  <c r="AB22" i="12"/>
  <c r="AB25" i="12" s="1"/>
  <c r="AA24" i="12"/>
  <c r="AA27" i="12"/>
  <c r="AA28" i="12" s="1"/>
  <c r="Z39" i="12"/>
  <c r="AA40" i="12"/>
  <c r="AA41" i="12" s="1"/>
  <c r="AB36" i="12"/>
  <c r="W40" i="9"/>
  <c r="V45" i="9"/>
  <c r="V48" i="9" s="1"/>
  <c r="W46" i="9"/>
  <c r="DU1" i="12"/>
  <c r="DT15" i="12"/>
  <c r="DT27" i="12"/>
  <c r="DT40" i="12"/>
  <c r="AV12" i="9"/>
  <c r="AV20" i="9"/>
  <c r="AQ37" i="9"/>
  <c r="AQ38" i="9" s="1"/>
  <c r="AQ51" i="9"/>
  <c r="AR37" i="9"/>
  <c r="AR38" i="9" s="1"/>
  <c r="AR51" i="9"/>
  <c r="AT10" i="9"/>
  <c r="AT21" i="9"/>
  <c r="AT19" i="9"/>
  <c r="AS13" i="9"/>
  <c r="AS52" i="9" s="1"/>
  <c r="AS16" i="9"/>
  <c r="AT18" i="9" l="1"/>
  <c r="AT27" i="9" s="1"/>
  <c r="AT31" i="9" s="1"/>
  <c r="AB37" i="12"/>
  <c r="AB38" i="12"/>
  <c r="AB40" i="12" s="1"/>
  <c r="AB41" i="12" s="1"/>
  <c r="AA26" i="12"/>
  <c r="AB24" i="12"/>
  <c r="AC22" i="12"/>
  <c r="AC25" i="12" s="1"/>
  <c r="AB27" i="12"/>
  <c r="AB28" i="12" s="1"/>
  <c r="AA12" i="12"/>
  <c r="AA15" i="12"/>
  <c r="AA16" i="12" s="1"/>
  <c r="AB6" i="12"/>
  <c r="AB13" i="12" s="1"/>
  <c r="AA23" i="12"/>
  <c r="AC36" i="12"/>
  <c r="AA39" i="12"/>
  <c r="X46" i="9"/>
  <c r="X40" i="9"/>
  <c r="W45" i="9"/>
  <c r="W48" i="9" s="1"/>
  <c r="DV1" i="12"/>
  <c r="DU15" i="12"/>
  <c r="DU27" i="12"/>
  <c r="DU40" i="12"/>
  <c r="AS37" i="9"/>
  <c r="AS38" i="9" s="1"/>
  <c r="AS51" i="9"/>
  <c r="AT33" i="9"/>
  <c r="AT34" i="9" s="1"/>
  <c r="AU19" i="9"/>
  <c r="AU10" i="9"/>
  <c r="AU21" i="9"/>
  <c r="AW20" i="9"/>
  <c r="AW12" i="9"/>
  <c r="AT16" i="9"/>
  <c r="AT13" i="9"/>
  <c r="AT52" i="9" s="1"/>
  <c r="AC38" i="12" l="1"/>
  <c r="AC37" i="12"/>
  <c r="AA14" i="12"/>
  <c r="AB26" i="12"/>
  <c r="E8" i="14"/>
  <c r="AB15" i="12"/>
  <c r="AB16" i="12" s="1"/>
  <c r="AB23" i="12"/>
  <c r="AC6" i="12"/>
  <c r="AC13" i="12" s="1"/>
  <c r="AB12" i="12"/>
  <c r="AD22" i="12"/>
  <c r="AD25" i="12" s="1"/>
  <c r="AC27" i="12"/>
  <c r="AC28" i="12" s="1"/>
  <c r="AC24" i="12"/>
  <c r="AB39" i="12"/>
  <c r="AD36" i="12"/>
  <c r="AC40" i="12"/>
  <c r="AC41" i="12" s="1"/>
  <c r="Y40" i="9"/>
  <c r="Y46" i="9"/>
  <c r="X45" i="9"/>
  <c r="X48" i="9" s="1"/>
  <c r="DW1" i="12"/>
  <c r="DV15" i="12"/>
  <c r="DV27" i="12"/>
  <c r="DV40" i="12"/>
  <c r="AT37" i="9"/>
  <c r="AT38" i="9" s="1"/>
  <c r="AT51" i="9"/>
  <c r="AX12" i="9"/>
  <c r="AX20" i="9"/>
  <c r="AU18" i="9"/>
  <c r="AU27" i="9" s="1"/>
  <c r="AU31" i="9" s="1"/>
  <c r="AU13" i="9"/>
  <c r="AU52" i="9" s="1"/>
  <c r="AU16" i="9"/>
  <c r="AV10" i="9"/>
  <c r="AV21" i="9"/>
  <c r="AV19" i="9"/>
  <c r="AV18" i="9" l="1"/>
  <c r="AV27" i="9" s="1"/>
  <c r="AV31" i="9" s="1"/>
  <c r="AV33" i="9" s="1"/>
  <c r="AV34" i="9" s="1"/>
  <c r="AD37" i="12"/>
  <c r="AD38" i="12"/>
  <c r="AD40" i="12" s="1"/>
  <c r="AD41" i="12" s="1"/>
  <c r="AC26" i="12"/>
  <c r="AE22" i="12"/>
  <c r="AE25" i="12" s="1"/>
  <c r="AD26" i="12"/>
  <c r="AD24" i="12"/>
  <c r="AD6" i="12"/>
  <c r="AD13" i="12" s="1"/>
  <c r="AC12" i="12"/>
  <c r="AC15" i="12"/>
  <c r="AC16" i="12" s="1"/>
  <c r="AC23" i="12"/>
  <c r="AB14" i="12"/>
  <c r="E8" i="15"/>
  <c r="G8" i="14"/>
  <c r="D35" i="14" s="1"/>
  <c r="E35" i="14" s="1"/>
  <c r="AC39" i="12"/>
  <c r="AE36" i="12"/>
  <c r="Z46" i="9"/>
  <c r="Z40" i="9"/>
  <c r="Y45" i="9"/>
  <c r="Y48" i="9" s="1"/>
  <c r="DX1" i="12"/>
  <c r="DW15" i="12"/>
  <c r="DW27" i="12"/>
  <c r="DW40" i="12"/>
  <c r="AW19" i="9"/>
  <c r="AW10" i="9"/>
  <c r="AW21" i="9"/>
  <c r="AV16" i="9"/>
  <c r="AV13" i="9"/>
  <c r="AV52" i="9" s="1"/>
  <c r="AU33" i="9"/>
  <c r="AU34" i="9" s="1"/>
  <c r="AY20" i="9"/>
  <c r="AY12" i="9"/>
  <c r="AE38" i="12" l="1"/>
  <c r="AE40" i="12" s="1"/>
  <c r="AE41" i="12" s="1"/>
  <c r="AE37" i="12"/>
  <c r="AD39" i="12"/>
  <c r="AC14" i="12"/>
  <c r="AF22" i="12"/>
  <c r="AF25" i="12" s="1"/>
  <c r="AE27" i="12"/>
  <c r="AE24" i="12"/>
  <c r="AD15" i="12"/>
  <c r="AD16" i="12" s="1"/>
  <c r="AE6" i="12"/>
  <c r="AE13" i="12" s="1"/>
  <c r="AD12" i="12"/>
  <c r="AD23" i="12"/>
  <c r="AD27" i="12"/>
  <c r="AD28" i="12" s="1"/>
  <c r="AF36" i="12"/>
  <c r="Z45" i="9"/>
  <c r="Z48" i="9" s="1"/>
  <c r="AA46" i="9"/>
  <c r="AA40" i="9"/>
  <c r="H61" i="9"/>
  <c r="DY1" i="12"/>
  <c r="DX15" i="12"/>
  <c r="DX27" i="12"/>
  <c r="DX40" i="12"/>
  <c r="AV37" i="9"/>
  <c r="AV38" i="9" s="1"/>
  <c r="AV51" i="9"/>
  <c r="AZ12" i="9"/>
  <c r="AZ20" i="9"/>
  <c r="AW13" i="9"/>
  <c r="AW52" i="9" s="1"/>
  <c r="AW16" i="9"/>
  <c r="AX10" i="9"/>
  <c r="AX21" i="9"/>
  <c r="AX19" i="9"/>
  <c r="AU37" i="9"/>
  <c r="AU38" i="9" s="1"/>
  <c r="AU51" i="9"/>
  <c r="AW18" i="9"/>
  <c r="AW27" i="9" s="1"/>
  <c r="AW31" i="9" s="1"/>
  <c r="AF37" i="12" l="1"/>
  <c r="AF38" i="12"/>
  <c r="AE26" i="12"/>
  <c r="AD14" i="12"/>
  <c r="AE28" i="12"/>
  <c r="AE12" i="12"/>
  <c r="AF6" i="12"/>
  <c r="AF13" i="12" s="1"/>
  <c r="AE23" i="12"/>
  <c r="AG22" i="12"/>
  <c r="AG25" i="12" s="1"/>
  <c r="AF24" i="12"/>
  <c r="AE39" i="12"/>
  <c r="AG36" i="12"/>
  <c r="AB40" i="9"/>
  <c r="AA45" i="9"/>
  <c r="AA48" i="9" s="1"/>
  <c r="AB46" i="9"/>
  <c r="DZ1" i="12"/>
  <c r="DY15" i="12"/>
  <c r="DY27" i="12"/>
  <c r="DY40" i="12"/>
  <c r="AW33" i="9"/>
  <c r="AW34" i="9" s="1"/>
  <c r="AY19" i="9"/>
  <c r="AY10" i="9"/>
  <c r="AY21" i="9"/>
  <c r="BA20" i="9"/>
  <c r="BA12" i="9"/>
  <c r="AX18" i="9"/>
  <c r="AX27" i="9" s="1"/>
  <c r="AX31" i="9" s="1"/>
  <c r="AX16" i="9"/>
  <c r="AX13" i="9"/>
  <c r="AX52" i="9" s="1"/>
  <c r="AG38" i="12" l="1"/>
  <c r="AG40" i="12" s="1"/>
  <c r="AG37" i="12"/>
  <c r="AF39" i="12"/>
  <c r="AE14" i="12"/>
  <c r="AF27" i="12"/>
  <c r="AF28" i="12" s="1"/>
  <c r="AE15" i="12"/>
  <c r="AE16" i="12" s="1"/>
  <c r="AF26" i="12"/>
  <c r="AH22" i="12"/>
  <c r="AH25" i="12" s="1"/>
  <c r="AG27" i="12"/>
  <c r="AG24" i="12"/>
  <c r="AG6" i="12"/>
  <c r="AG13" i="12" s="1"/>
  <c r="AF12" i="12"/>
  <c r="AF15" i="12"/>
  <c r="AF23" i="12"/>
  <c r="AH36" i="12"/>
  <c r="AF40" i="12"/>
  <c r="AF41" i="12" s="1"/>
  <c r="AB45" i="9"/>
  <c r="AB48" i="9" s="1"/>
  <c r="AC46" i="9"/>
  <c r="AC40" i="9"/>
  <c r="EA1" i="12"/>
  <c r="DZ15" i="12"/>
  <c r="DZ27" i="12"/>
  <c r="DZ40" i="12"/>
  <c r="AW37" i="9"/>
  <c r="AW38" i="9" s="1"/>
  <c r="AW51" i="9"/>
  <c r="AY18" i="9"/>
  <c r="AY27" i="9" s="1"/>
  <c r="AY31" i="9" s="1"/>
  <c r="BB12" i="9"/>
  <c r="BB20" i="9"/>
  <c r="AY13" i="9"/>
  <c r="AY52" i="9" s="1"/>
  <c r="AY16" i="9"/>
  <c r="AX33" i="9"/>
  <c r="AX34" i="9" s="1"/>
  <c r="AZ10" i="9"/>
  <c r="AZ21" i="9"/>
  <c r="AZ19" i="9"/>
  <c r="AH37" i="12" l="1"/>
  <c r="AH38" i="12"/>
  <c r="AF14" i="12"/>
  <c r="AG39" i="12"/>
  <c r="AH6" i="12"/>
  <c r="AH13" i="12" s="1"/>
  <c r="AG12" i="12"/>
  <c r="AG15" i="12"/>
  <c r="AG23" i="12"/>
  <c r="AG26" i="12"/>
  <c r="AG28" i="12"/>
  <c r="AI22" i="12"/>
  <c r="AI25" i="12" s="1"/>
  <c r="AH27" i="12"/>
  <c r="AH24" i="12"/>
  <c r="AF16" i="12"/>
  <c r="AI36" i="12"/>
  <c r="AG41" i="12"/>
  <c r="AD40" i="9"/>
  <c r="AC45" i="9"/>
  <c r="AC48" i="9" s="1"/>
  <c r="AD46" i="9"/>
  <c r="EB1" i="12"/>
  <c r="EA15" i="12"/>
  <c r="EA27" i="12"/>
  <c r="EA40" i="12"/>
  <c r="BC20" i="9"/>
  <c r="BC12" i="9"/>
  <c r="BA19" i="9"/>
  <c r="BA10" i="9"/>
  <c r="BA21" i="9"/>
  <c r="AZ16" i="9"/>
  <c r="AZ13" i="9"/>
  <c r="AZ52" i="9" s="1"/>
  <c r="AY33" i="9"/>
  <c r="AY34" i="9" s="1"/>
  <c r="AZ18" i="9"/>
  <c r="AZ27" i="9" s="1"/>
  <c r="AZ31" i="9" s="1"/>
  <c r="AX37" i="9"/>
  <c r="AX38" i="9" s="1"/>
  <c r="AX51" i="9"/>
  <c r="AI38" i="12" l="1"/>
  <c r="AI40" i="12" s="1"/>
  <c r="AI37" i="12"/>
  <c r="AH39" i="12"/>
  <c r="AG16" i="12"/>
  <c r="AJ22" i="12"/>
  <c r="AJ25" i="12" s="1"/>
  <c r="AI24" i="12"/>
  <c r="AI6" i="12"/>
  <c r="AI13" i="12" s="1"/>
  <c r="AH23" i="12"/>
  <c r="AH12" i="12"/>
  <c r="AH26" i="12"/>
  <c r="AH28" i="12"/>
  <c r="AG14" i="12"/>
  <c r="AH40" i="12"/>
  <c r="AH41" i="12" s="1"/>
  <c r="AJ36" i="12"/>
  <c r="AD45" i="9"/>
  <c r="AD48" i="9" s="1"/>
  <c r="AE46" i="9"/>
  <c r="AE40" i="9"/>
  <c r="EC1" i="12"/>
  <c r="EB15" i="12"/>
  <c r="EB27" i="12"/>
  <c r="EB40" i="12"/>
  <c r="AY37" i="9"/>
  <c r="AY38" i="9" s="1"/>
  <c r="AY51" i="9"/>
  <c r="BA13" i="9"/>
  <c r="BA52" i="9" s="1"/>
  <c r="BA16" i="9"/>
  <c r="BB10" i="9"/>
  <c r="BB21" i="9"/>
  <c r="BB19" i="9"/>
  <c r="BA18" i="9"/>
  <c r="BA27" i="9" s="1"/>
  <c r="BA31" i="9" s="1"/>
  <c r="AZ33" i="9"/>
  <c r="AZ34" i="9" s="1"/>
  <c r="BD12" i="9"/>
  <c r="BD20" i="9"/>
  <c r="BB18" i="9" l="1"/>
  <c r="BB27" i="9" s="1"/>
  <c r="BB31" i="9" s="1"/>
  <c r="AJ37" i="12"/>
  <c r="AJ38" i="12"/>
  <c r="AI26" i="12"/>
  <c r="AJ26" i="12" s="1"/>
  <c r="AI41" i="12"/>
  <c r="AH14" i="12"/>
  <c r="AH15" i="12"/>
  <c r="AH16" i="12" s="1"/>
  <c r="AK22" i="12"/>
  <c r="AK25" i="12" s="1"/>
  <c r="AJ27" i="12"/>
  <c r="AJ24" i="12"/>
  <c r="AI12" i="12"/>
  <c r="AI15" i="12"/>
  <c r="AJ6" i="12"/>
  <c r="AJ13" i="12" s="1"/>
  <c r="AI23" i="12"/>
  <c r="AI27" i="12"/>
  <c r="AI28" i="12" s="1"/>
  <c r="AI39" i="12"/>
  <c r="AK36" i="12"/>
  <c r="AF46" i="9"/>
  <c r="AF40" i="9"/>
  <c r="AE45" i="9"/>
  <c r="AE48" i="9" s="1"/>
  <c r="ED1" i="12"/>
  <c r="EC15" i="12"/>
  <c r="EC27" i="12"/>
  <c r="EC40" i="12"/>
  <c r="AZ37" i="9"/>
  <c r="AZ38" i="9" s="1"/>
  <c r="AZ51" i="9"/>
  <c r="BB33" i="9"/>
  <c r="BB34" i="9" s="1"/>
  <c r="BC19" i="9"/>
  <c r="BC10" i="9"/>
  <c r="BC21" i="9"/>
  <c r="BA33" i="9"/>
  <c r="BA34" i="9" s="1"/>
  <c r="BB16" i="9"/>
  <c r="BB13" i="9"/>
  <c r="BB52" i="9" s="1"/>
  <c r="BE20" i="9"/>
  <c r="BE12" i="9"/>
  <c r="AK38" i="12" l="1"/>
  <c r="AK37" i="12"/>
  <c r="AJ28" i="12"/>
  <c r="AI14" i="12"/>
  <c r="AK6" i="12"/>
  <c r="AK13" i="12" s="1"/>
  <c r="AJ12" i="12"/>
  <c r="AJ15" i="12"/>
  <c r="AJ23" i="12"/>
  <c r="AI16" i="12"/>
  <c r="AL22" i="12"/>
  <c r="AL25" i="12" s="1"/>
  <c r="AK26" i="12"/>
  <c r="AK24" i="12"/>
  <c r="AJ39" i="12"/>
  <c r="AJ40" i="12"/>
  <c r="AJ41" i="12" s="1"/>
  <c r="AL36" i="12"/>
  <c r="AG40" i="9"/>
  <c r="AG46" i="9"/>
  <c r="AF45" i="9"/>
  <c r="AF48" i="9" s="1"/>
  <c r="EE1" i="12"/>
  <c r="ED15" i="12"/>
  <c r="ED27" i="12"/>
  <c r="ED40" i="12"/>
  <c r="BA37" i="9"/>
  <c r="BA38" i="9" s="1"/>
  <c r="BA51" i="9"/>
  <c r="BF12" i="9"/>
  <c r="BF20" i="9"/>
  <c r="BC13" i="9"/>
  <c r="BC52" i="9" s="1"/>
  <c r="BC16" i="9"/>
  <c r="BD10" i="9"/>
  <c r="BD21" i="9"/>
  <c r="BD19" i="9"/>
  <c r="BB37" i="9"/>
  <c r="BB38" i="9" s="1"/>
  <c r="BB51" i="9"/>
  <c r="BC18" i="9"/>
  <c r="BC27" i="9" s="1"/>
  <c r="BC31" i="9" s="1"/>
  <c r="AL37" i="12" l="1"/>
  <c r="AL38" i="12"/>
  <c r="AJ14" i="12"/>
  <c r="AJ16" i="12"/>
  <c r="AK27" i="12"/>
  <c r="AK28" i="12" s="1"/>
  <c r="AM22" i="12"/>
  <c r="AM25" i="12" s="1"/>
  <c r="AL27" i="12"/>
  <c r="AL24" i="12"/>
  <c r="AL6" i="12"/>
  <c r="AL13" i="12" s="1"/>
  <c r="AK23" i="12"/>
  <c r="AK12" i="12"/>
  <c r="AK15" i="12"/>
  <c r="AK16" i="12" s="1"/>
  <c r="AL26" i="12"/>
  <c r="AK39" i="12"/>
  <c r="AM36" i="12"/>
  <c r="AL40" i="12"/>
  <c r="AK40" i="12"/>
  <c r="AK41" i="12" s="1"/>
  <c r="AH46" i="9"/>
  <c r="AH40" i="9"/>
  <c r="AG45" i="9"/>
  <c r="AG48" i="9" s="1"/>
  <c r="EF1" i="12"/>
  <c r="EE15" i="12"/>
  <c r="EE27" i="12"/>
  <c r="EE40" i="12"/>
  <c r="BD16" i="9"/>
  <c r="BD13" i="9"/>
  <c r="BD52" i="9" s="1"/>
  <c r="BC33" i="9"/>
  <c r="BC34" i="9" s="1"/>
  <c r="BE19" i="9"/>
  <c r="BE10" i="9"/>
  <c r="BE21" i="9"/>
  <c r="BD18" i="9"/>
  <c r="BD27" i="9" s="1"/>
  <c r="BD31" i="9" s="1"/>
  <c r="AM38" i="12" l="1"/>
  <c r="AM37" i="12"/>
  <c r="AK14" i="12"/>
  <c r="AL28" i="12"/>
  <c r="AL12" i="12"/>
  <c r="AL15" i="12"/>
  <c r="AL16" i="12" s="1"/>
  <c r="AM6" i="12"/>
  <c r="AM13" i="12" s="1"/>
  <c r="AL23" i="12"/>
  <c r="AM24" i="12"/>
  <c r="AN22" i="12"/>
  <c r="AN25" i="12" s="1"/>
  <c r="AM27" i="12"/>
  <c r="AL39" i="12"/>
  <c r="AN36" i="12"/>
  <c r="AL41" i="12"/>
  <c r="AI40" i="9"/>
  <c r="AH45" i="9"/>
  <c r="AH48" i="9" s="1"/>
  <c r="AI46" i="9"/>
  <c r="EG1" i="12"/>
  <c r="EF15" i="12"/>
  <c r="EF27" i="12"/>
  <c r="EF40" i="12"/>
  <c r="BC37" i="9"/>
  <c r="BC38" i="9" s="1"/>
  <c r="BC51" i="9"/>
  <c r="BE13" i="9"/>
  <c r="BE52" i="9" s="1"/>
  <c r="BE16" i="9"/>
  <c r="BD33" i="9"/>
  <c r="BD34" i="9" s="1"/>
  <c r="BF10" i="9"/>
  <c r="BF21" i="9"/>
  <c r="BF19" i="9"/>
  <c r="BE18" i="9"/>
  <c r="BE27" i="9" s="1"/>
  <c r="BE31" i="9" s="1"/>
  <c r="BF18" i="9" l="1"/>
  <c r="BF27" i="9" s="1"/>
  <c r="BF31" i="9" s="1"/>
  <c r="AN37" i="12"/>
  <c r="AN38" i="12"/>
  <c r="AM28" i="12"/>
  <c r="AN24" i="12"/>
  <c r="AO22" i="12"/>
  <c r="AO25" i="12" s="1"/>
  <c r="AN27" i="12"/>
  <c r="AM15" i="12"/>
  <c r="AM16" i="12" s="1"/>
  <c r="AN6" i="12"/>
  <c r="AN13" i="12" s="1"/>
  <c r="AM23" i="12"/>
  <c r="AM12" i="12"/>
  <c r="AM26" i="12"/>
  <c r="AL14" i="12"/>
  <c r="AM39" i="12"/>
  <c r="AM40" i="12"/>
  <c r="AM41" i="12" s="1"/>
  <c r="AO36" i="12"/>
  <c r="AN40" i="12"/>
  <c r="AJ40" i="9"/>
  <c r="AI45" i="9"/>
  <c r="AI48" i="9" s="1"/>
  <c r="AJ46" i="9"/>
  <c r="EH1" i="12"/>
  <c r="EG15" i="12"/>
  <c r="EG27" i="12"/>
  <c r="EG40" i="12"/>
  <c r="BD37" i="9"/>
  <c r="BD38" i="9" s="1"/>
  <c r="BD51" i="9"/>
  <c r="BF33" i="9"/>
  <c r="BF34" i="9" s="1"/>
  <c r="BF16" i="9"/>
  <c r="BF13" i="9"/>
  <c r="BF52" i="9" s="1"/>
  <c r="BE33" i="9"/>
  <c r="BE34" i="9" s="1"/>
  <c r="AO38" i="12" l="1"/>
  <c r="AO40" i="12" s="1"/>
  <c r="AO37" i="12"/>
  <c r="AN28" i="12"/>
  <c r="AM14" i="12"/>
  <c r="E11" i="14"/>
  <c r="AN12" i="12"/>
  <c r="AN15" i="12"/>
  <c r="AN16" i="12" s="1"/>
  <c r="AN23" i="12"/>
  <c r="AO6" i="12"/>
  <c r="AO13" i="12" s="1"/>
  <c r="AO24" i="12"/>
  <c r="AP22" i="12"/>
  <c r="AP25" i="12" s="1"/>
  <c r="AO27" i="12"/>
  <c r="AN26" i="12"/>
  <c r="AN41" i="12"/>
  <c r="AP36" i="12"/>
  <c r="AN39" i="12"/>
  <c r="AK40" i="9"/>
  <c r="AJ45" i="9"/>
  <c r="AJ48" i="9" s="1"/>
  <c r="AK46" i="9"/>
  <c r="EI1" i="12"/>
  <c r="EH15" i="12"/>
  <c r="EH27" i="12"/>
  <c r="EH40" i="12"/>
  <c r="BE37" i="9"/>
  <c r="BE38" i="9" s="1"/>
  <c r="BE51" i="9"/>
  <c r="BF37" i="9"/>
  <c r="BF38" i="9" s="1"/>
  <c r="BF51" i="9"/>
  <c r="AP37" i="12" l="1"/>
  <c r="AP38" i="12"/>
  <c r="AO28" i="12"/>
  <c r="AN14" i="12"/>
  <c r="AQ22" i="12"/>
  <c r="AQ25" i="12" s="1"/>
  <c r="AP27" i="12"/>
  <c r="AP24" i="12"/>
  <c r="AO15" i="12"/>
  <c r="AO16" i="12" s="1"/>
  <c r="AP6" i="12"/>
  <c r="AP13" i="12" s="1"/>
  <c r="AO23" i="12"/>
  <c r="AO12" i="12"/>
  <c r="E11" i="15"/>
  <c r="G11" i="14"/>
  <c r="D36" i="14" s="1"/>
  <c r="E36" i="14" s="1"/>
  <c r="AO26" i="12"/>
  <c r="AP26" i="12" s="1"/>
  <c r="AO41" i="12"/>
  <c r="AO39" i="12"/>
  <c r="AQ36" i="12"/>
  <c r="AP40" i="12"/>
  <c r="AL46" i="9"/>
  <c r="AL40" i="9"/>
  <c r="AK45" i="9"/>
  <c r="AK48" i="9" s="1"/>
  <c r="EJ1" i="12"/>
  <c r="EI15" i="12"/>
  <c r="EI27" i="12"/>
  <c r="EI40" i="12"/>
  <c r="AQ38" i="12" l="1"/>
  <c r="AQ40" i="12" s="1"/>
  <c r="AQ37" i="12"/>
  <c r="AP28" i="12"/>
  <c r="AP41" i="12"/>
  <c r="AP12" i="12"/>
  <c r="AP23" i="12"/>
  <c r="AP15" i="12"/>
  <c r="AP16" i="12" s="1"/>
  <c r="AQ6" i="12"/>
  <c r="AQ13" i="12" s="1"/>
  <c r="AR22" i="12"/>
  <c r="AR25" i="12" s="1"/>
  <c r="AQ27" i="12"/>
  <c r="AQ24" i="12"/>
  <c r="AQ26" i="12"/>
  <c r="AO14" i="12"/>
  <c r="AP39" i="12"/>
  <c r="AR36" i="12"/>
  <c r="AL45" i="9"/>
  <c r="AL48" i="9" s="1"/>
  <c r="AM40" i="9"/>
  <c r="AM46" i="9"/>
  <c r="EK1" i="12"/>
  <c r="EJ15" i="12"/>
  <c r="EJ27" i="12"/>
  <c r="EJ40" i="12"/>
  <c r="AR37" i="12" l="1"/>
  <c r="AR38" i="12"/>
  <c r="AQ41" i="12"/>
  <c r="AQ28" i="12"/>
  <c r="AQ12" i="12"/>
  <c r="AQ15" i="12"/>
  <c r="AQ16" i="12" s="1"/>
  <c r="AQ23" i="12"/>
  <c r="AR6" i="12"/>
  <c r="AR13" i="12" s="1"/>
  <c r="AP14" i="12"/>
  <c r="AR24" i="12"/>
  <c r="AS22" i="12"/>
  <c r="AS25" i="12" s="1"/>
  <c r="AR27" i="12"/>
  <c r="AR28" i="12" s="1"/>
  <c r="AQ39" i="12"/>
  <c r="AR40" i="12"/>
  <c r="AS36" i="12"/>
  <c r="AN46" i="9"/>
  <c r="AN40" i="9"/>
  <c r="AM45" i="9"/>
  <c r="AM48" i="9" s="1"/>
  <c r="EL1" i="12"/>
  <c r="EK15" i="12"/>
  <c r="EK27" i="12"/>
  <c r="EK40" i="12"/>
  <c r="AR41" i="12" l="1"/>
  <c r="AS38" i="12"/>
  <c r="AS37" i="12"/>
  <c r="AQ14" i="12"/>
  <c r="AS24" i="12"/>
  <c r="AT22" i="12"/>
  <c r="AT25" i="12" s="1"/>
  <c r="AS27" i="12"/>
  <c r="AS28" i="12" s="1"/>
  <c r="AR26" i="12"/>
  <c r="AS6" i="12"/>
  <c r="AS13" i="12" s="1"/>
  <c r="AR12" i="12"/>
  <c r="AR15" i="12"/>
  <c r="AR16" i="12" s="1"/>
  <c r="AR23" i="12"/>
  <c r="AT36" i="12"/>
  <c r="AS40" i="12"/>
  <c r="AR39" i="12"/>
  <c r="AN45" i="9"/>
  <c r="AN48" i="9" s="1"/>
  <c r="AO46" i="9"/>
  <c r="AO40" i="9"/>
  <c r="EM1" i="12"/>
  <c r="EL15" i="12"/>
  <c r="EL27" i="12"/>
  <c r="EL40" i="12"/>
  <c r="AS41" i="12" l="1"/>
  <c r="AT37" i="12"/>
  <c r="AT38" i="12"/>
  <c r="AR14" i="12"/>
  <c r="AS26" i="12"/>
  <c r="AT24" i="12"/>
  <c r="AU22" i="12"/>
  <c r="AU25" i="12" s="1"/>
  <c r="AT27" i="12"/>
  <c r="AT28" i="12" s="1"/>
  <c r="AS15" i="12"/>
  <c r="AS16" i="12" s="1"/>
  <c r="AS23" i="12"/>
  <c r="AT6" i="12"/>
  <c r="AT13" i="12" s="1"/>
  <c r="AS12" i="12"/>
  <c r="AS39" i="12"/>
  <c r="AU36" i="12"/>
  <c r="AT40" i="12"/>
  <c r="AT41" i="12" s="1"/>
  <c r="AP40" i="9"/>
  <c r="AO45" i="9"/>
  <c r="AO48" i="9" s="1"/>
  <c r="AP46" i="9"/>
  <c r="EN1" i="12"/>
  <c r="EM15" i="12"/>
  <c r="EM27" i="12"/>
  <c r="EM40" i="12"/>
  <c r="AU38" i="12" l="1"/>
  <c r="AU37" i="12"/>
  <c r="AT26" i="12"/>
  <c r="AS14" i="12"/>
  <c r="AT12" i="12"/>
  <c r="AT15" i="12"/>
  <c r="AT16" i="12" s="1"/>
  <c r="AU6" i="12"/>
  <c r="AU13" i="12" s="1"/>
  <c r="AT23" i="12"/>
  <c r="AU24" i="12"/>
  <c r="AV22" i="12"/>
  <c r="AV25" i="12" s="1"/>
  <c r="AU27" i="12"/>
  <c r="AU28" i="12" s="1"/>
  <c r="AV36" i="12"/>
  <c r="AU40" i="12"/>
  <c r="AU41" i="12" s="1"/>
  <c r="AT39" i="12"/>
  <c r="AP45" i="9"/>
  <c r="AQ46" i="9"/>
  <c r="AQ40" i="9"/>
  <c r="EO1" i="12"/>
  <c r="EN15" i="12"/>
  <c r="EN27" i="12"/>
  <c r="EN40" i="12"/>
  <c r="AV37" i="12" l="1"/>
  <c r="AV38" i="12"/>
  <c r="AU26" i="12"/>
  <c r="AV24" i="12"/>
  <c r="AW22" i="12"/>
  <c r="AW25" i="12" s="1"/>
  <c r="AV27" i="12"/>
  <c r="AV28" i="12" s="1"/>
  <c r="AV6" i="12"/>
  <c r="AV13" i="12" s="1"/>
  <c r="AU23" i="12"/>
  <c r="AU12" i="12"/>
  <c r="AU15" i="12"/>
  <c r="AU16" i="12" s="1"/>
  <c r="AT14" i="12"/>
  <c r="AU39" i="12"/>
  <c r="AW36" i="12"/>
  <c r="AV40" i="12"/>
  <c r="AV41" i="12" s="1"/>
  <c r="AR40" i="9"/>
  <c r="AQ45" i="9"/>
  <c r="AQ48" i="9" s="1"/>
  <c r="AR46" i="9"/>
  <c r="AP48" i="9"/>
  <c r="EP1" i="12"/>
  <c r="EO15" i="12"/>
  <c r="EO27" i="12"/>
  <c r="EO40" i="12"/>
  <c r="AW38" i="12" l="1"/>
  <c r="AW40" i="12" s="1"/>
  <c r="AW41" i="12" s="1"/>
  <c r="AW37" i="12"/>
  <c r="AU14" i="12"/>
  <c r="AV26" i="12"/>
  <c r="AV12" i="12"/>
  <c r="AV15" i="12"/>
  <c r="AV16" i="12" s="1"/>
  <c r="AW6" i="12"/>
  <c r="AW13" i="12" s="1"/>
  <c r="AV23" i="12"/>
  <c r="AW24" i="12"/>
  <c r="AX22" i="12"/>
  <c r="AX25" i="12" s="1"/>
  <c r="AW27" i="12"/>
  <c r="AW28" i="12" s="1"/>
  <c r="AX36" i="12"/>
  <c r="AV39" i="12"/>
  <c r="AR45" i="9"/>
  <c r="AS46" i="9"/>
  <c r="AS40" i="9"/>
  <c r="EQ1" i="12"/>
  <c r="EP15" i="12"/>
  <c r="EP27" i="12"/>
  <c r="EP40" i="12"/>
  <c r="AX37" i="12" l="1"/>
  <c r="AX38" i="12"/>
  <c r="AV14" i="12"/>
  <c r="AW14" i="12" s="1"/>
  <c r="AX6" i="12"/>
  <c r="AX13" i="12" s="1"/>
  <c r="AW23" i="12"/>
  <c r="AW12" i="12"/>
  <c r="AW15" i="12"/>
  <c r="AW16" i="12" s="1"/>
  <c r="AX24" i="12"/>
  <c r="AY22" i="12"/>
  <c r="AY25" i="12" s="1"/>
  <c r="AX27" i="12"/>
  <c r="AX28" i="12" s="1"/>
  <c r="AW26" i="12"/>
  <c r="AW39" i="12"/>
  <c r="AY36" i="12"/>
  <c r="AX40" i="12"/>
  <c r="AX41" i="12" s="1"/>
  <c r="AT40" i="9"/>
  <c r="AS45" i="9"/>
  <c r="AS48" i="9" s="1"/>
  <c r="AT46" i="9"/>
  <c r="AR48" i="9"/>
  <c r="ER1" i="12"/>
  <c r="EQ15" i="12"/>
  <c r="EQ27" i="12"/>
  <c r="EQ40" i="12"/>
  <c r="AY38" i="12" l="1"/>
  <c r="AY37" i="12"/>
  <c r="AX26" i="12"/>
  <c r="AY24" i="12"/>
  <c r="AZ22" i="12"/>
  <c r="AZ25" i="12" s="1"/>
  <c r="AY27" i="12"/>
  <c r="AY28" i="12" s="1"/>
  <c r="AY6" i="12"/>
  <c r="AY13" i="12" s="1"/>
  <c r="AX23" i="12"/>
  <c r="AX12" i="12"/>
  <c r="AX15" i="12"/>
  <c r="AX16" i="12" s="1"/>
  <c r="AY40" i="12"/>
  <c r="AY41" i="12" s="1"/>
  <c r="AZ36" i="12"/>
  <c r="AX39" i="12"/>
  <c r="AU40" i="9"/>
  <c r="AT45" i="9"/>
  <c r="AU46" i="9"/>
  <c r="ES1" i="12"/>
  <c r="ER15" i="12"/>
  <c r="ER27" i="12"/>
  <c r="ER40" i="12"/>
  <c r="AZ37" i="12" l="1"/>
  <c r="AZ38" i="12"/>
  <c r="AY26" i="12"/>
  <c r="AX14" i="12"/>
  <c r="AY12" i="12"/>
  <c r="AY15" i="12"/>
  <c r="AY16" i="12" s="1"/>
  <c r="AZ6" i="12"/>
  <c r="AZ13" i="12" s="1"/>
  <c r="AY23" i="12"/>
  <c r="AZ24" i="12"/>
  <c r="BA22" i="12"/>
  <c r="BA25" i="12" s="1"/>
  <c r="AZ27" i="12"/>
  <c r="AZ28" i="12" s="1"/>
  <c r="AY14" i="12"/>
  <c r="AY39" i="12"/>
  <c r="AZ40" i="12"/>
  <c r="AZ41" i="12" s="1"/>
  <c r="BA36" i="12"/>
  <c r="AV40" i="9"/>
  <c r="AU45" i="9"/>
  <c r="AU48" i="9" s="1"/>
  <c r="AV46" i="9"/>
  <c r="AT48" i="9"/>
  <c r="ET1" i="12"/>
  <c r="ES15" i="12"/>
  <c r="ES27" i="12"/>
  <c r="ES40" i="12"/>
  <c r="BA38" i="12" l="1"/>
  <c r="BA37" i="12"/>
  <c r="AZ26" i="12"/>
  <c r="BA24" i="12"/>
  <c r="BB22" i="12"/>
  <c r="BB25" i="12" s="1"/>
  <c r="BA27" i="12"/>
  <c r="BA28" i="12" s="1"/>
  <c r="E14" i="14"/>
  <c r="AZ12" i="12"/>
  <c r="AZ15" i="12"/>
  <c r="AZ16" i="12" s="1"/>
  <c r="BA6" i="12"/>
  <c r="BA13" i="12" s="1"/>
  <c r="AZ23" i="12"/>
  <c r="BB36" i="12"/>
  <c r="BA40" i="12"/>
  <c r="BA41" i="12" s="1"/>
  <c r="AZ39" i="12"/>
  <c r="AV45" i="9"/>
  <c r="AW46" i="9"/>
  <c r="AW40" i="9"/>
  <c r="EU1" i="12"/>
  <c r="ET15" i="12"/>
  <c r="ET27" i="12"/>
  <c r="ET40" i="12"/>
  <c r="BB37" i="12" l="1"/>
  <c r="BB38" i="12"/>
  <c r="BA26" i="12"/>
  <c r="E14" i="15"/>
  <c r="G14" i="14"/>
  <c r="D37" i="14" s="1"/>
  <c r="E37" i="14" s="1"/>
  <c r="BC22" i="12"/>
  <c r="BC25" i="12" s="1"/>
  <c r="BB27" i="12"/>
  <c r="BB28" i="12" s="1"/>
  <c r="BB24" i="12"/>
  <c r="BA12" i="12"/>
  <c r="BA15" i="12"/>
  <c r="BA16" i="12" s="1"/>
  <c r="BB6" i="12"/>
  <c r="BB13" i="12" s="1"/>
  <c r="BA23" i="12"/>
  <c r="AZ14" i="12"/>
  <c r="BA39" i="12"/>
  <c r="BC36" i="12"/>
  <c r="BB40" i="12"/>
  <c r="BB41" i="12" s="1"/>
  <c r="AV48" i="9"/>
  <c r="AX46" i="9"/>
  <c r="AX40" i="9"/>
  <c r="AW45" i="9"/>
  <c r="AW48" i="9" s="1"/>
  <c r="EV1" i="12"/>
  <c r="EU15" i="12"/>
  <c r="EU27" i="12"/>
  <c r="EU40" i="12"/>
  <c r="BC38" i="12" l="1"/>
  <c r="BC40" i="12" s="1"/>
  <c r="BC41" i="12" s="1"/>
  <c r="BC37" i="12"/>
  <c r="BA14" i="12"/>
  <c r="BD22" i="12"/>
  <c r="BD25" i="12" s="1"/>
  <c r="BC27" i="12"/>
  <c r="BC28" i="12" s="1"/>
  <c r="BC24" i="12"/>
  <c r="BB26" i="12"/>
  <c r="BC26" i="12" s="1"/>
  <c r="BB15" i="12"/>
  <c r="BB16" i="12" s="1"/>
  <c r="BC6" i="12"/>
  <c r="BC13" i="12" s="1"/>
  <c r="BB12" i="12"/>
  <c r="BB23" i="12"/>
  <c r="BD36" i="12"/>
  <c r="BB39" i="12"/>
  <c r="AX45" i="9"/>
  <c r="AX48" i="9" s="1"/>
  <c r="AY46" i="9"/>
  <c r="AY40" i="9"/>
  <c r="EW1" i="12"/>
  <c r="EV15" i="12"/>
  <c r="EV27" i="12"/>
  <c r="EV40" i="12"/>
  <c r="BC39" i="12" l="1"/>
  <c r="BD37" i="12"/>
  <c r="BD38" i="12"/>
  <c r="BD24" i="12"/>
  <c r="BE22" i="12"/>
  <c r="BE25" i="12" s="1"/>
  <c r="BD27" i="12"/>
  <c r="BD28" i="12" s="1"/>
  <c r="BB14" i="12"/>
  <c r="BC15" i="12"/>
  <c r="BC16" i="12" s="1"/>
  <c r="BD6" i="12"/>
  <c r="BD13" i="12" s="1"/>
  <c r="BC23" i="12"/>
  <c r="BC12" i="12"/>
  <c r="BE36" i="12"/>
  <c r="BD40" i="12"/>
  <c r="BD41" i="12" s="1"/>
  <c r="AZ40" i="9"/>
  <c r="AY45" i="9"/>
  <c r="AY48" i="9" s="1"/>
  <c r="AZ46" i="9"/>
  <c r="EX1" i="12"/>
  <c r="EW15" i="12"/>
  <c r="EW27" i="12"/>
  <c r="EW40" i="12"/>
  <c r="BE38" i="12" l="1"/>
  <c r="BE40" i="12" s="1"/>
  <c r="BE41" i="12" s="1"/>
  <c r="BE37" i="12"/>
  <c r="BD26" i="12"/>
  <c r="BE27" i="12"/>
  <c r="BE28" i="12" s="1"/>
  <c r="BE24" i="12"/>
  <c r="BF22" i="12"/>
  <c r="BF25" i="12" s="1"/>
  <c r="BD12" i="12"/>
  <c r="BD15" i="12"/>
  <c r="BD16" i="12" s="1"/>
  <c r="BE6" i="12"/>
  <c r="BE13" i="12" s="1"/>
  <c r="BD23" i="12"/>
  <c r="BC14" i="12"/>
  <c r="BD39" i="12"/>
  <c r="BF36" i="12"/>
  <c r="BA40" i="9"/>
  <c r="AZ45" i="9"/>
  <c r="AZ48" i="9" s="1"/>
  <c r="BA46" i="9"/>
  <c r="EY1" i="12"/>
  <c r="EX15" i="12"/>
  <c r="EX27" i="12"/>
  <c r="EX40" i="12"/>
  <c r="BF37" i="12" l="1"/>
  <c r="BF38" i="12"/>
  <c r="BD14" i="12"/>
  <c r="BF24" i="12"/>
  <c r="BG22" i="12"/>
  <c r="BG25" i="12" s="1"/>
  <c r="BF27" i="12"/>
  <c r="BF28" i="12" s="1"/>
  <c r="BF6" i="12"/>
  <c r="BF13" i="12" s="1"/>
  <c r="BE12" i="12"/>
  <c r="BE15" i="12"/>
  <c r="BE16" i="12" s="1"/>
  <c r="BE23" i="12"/>
  <c r="BE26" i="12"/>
  <c r="BE39" i="12"/>
  <c r="BG36" i="12"/>
  <c r="BF40" i="12"/>
  <c r="BF41" i="12" s="1"/>
  <c r="BB40" i="9"/>
  <c r="BA45" i="9"/>
  <c r="BA48" i="9" s="1"/>
  <c r="BB46" i="9"/>
  <c r="EZ1" i="12"/>
  <c r="EY15" i="12"/>
  <c r="EY27" i="12"/>
  <c r="EY40" i="12"/>
  <c r="BG38" i="12" l="1"/>
  <c r="BG40" i="12" s="1"/>
  <c r="BG41" i="12" s="1"/>
  <c r="BG37" i="12"/>
  <c r="BE14" i="12"/>
  <c r="BF12" i="12"/>
  <c r="BF23" i="12"/>
  <c r="BF15" i="12"/>
  <c r="BF16" i="12" s="1"/>
  <c r="BG6" i="12"/>
  <c r="BG13" i="12" s="1"/>
  <c r="BG24" i="12"/>
  <c r="BH22" i="12"/>
  <c r="BH25" i="12" s="1"/>
  <c r="BG27" i="12"/>
  <c r="BG28" i="12" s="1"/>
  <c r="BF26" i="12"/>
  <c r="BF39" i="12"/>
  <c r="BH36" i="12"/>
  <c r="BC40" i="9"/>
  <c r="BB45" i="9"/>
  <c r="BB48" i="9" s="1"/>
  <c r="BC46" i="9"/>
  <c r="FA1" i="12"/>
  <c r="EZ15" i="12"/>
  <c r="EZ27" i="12"/>
  <c r="EZ40" i="12"/>
  <c r="BH37" i="12" l="1"/>
  <c r="BH38" i="12"/>
  <c r="BH40" i="12" s="1"/>
  <c r="BH41" i="12" s="1"/>
  <c r="BF14" i="12"/>
  <c r="BG26" i="12"/>
  <c r="BH6" i="12"/>
  <c r="BH13" i="12" s="1"/>
  <c r="BG12" i="12"/>
  <c r="BG15" i="12"/>
  <c r="BG16" i="12" s="1"/>
  <c r="BG23" i="12"/>
  <c r="BH24" i="12"/>
  <c r="BI22" i="12"/>
  <c r="BI25" i="12" s="1"/>
  <c r="BH27" i="12"/>
  <c r="BH28" i="12" s="1"/>
  <c r="BG39" i="12"/>
  <c r="BI36" i="12"/>
  <c r="BD46" i="9"/>
  <c r="BD40" i="9"/>
  <c r="BC45" i="9"/>
  <c r="BC48" i="9" s="1"/>
  <c r="FB1" i="12"/>
  <c r="FA15" i="12"/>
  <c r="FA27" i="12"/>
  <c r="FA40" i="12"/>
  <c r="BI38" i="12" l="1"/>
  <c r="BI40" i="12" s="1"/>
  <c r="BI41" i="12" s="1"/>
  <c r="BI37" i="12"/>
  <c r="BG14" i="12"/>
  <c r="BH14" i="12" s="1"/>
  <c r="BH26" i="12"/>
  <c r="BI24" i="12"/>
  <c r="BJ22" i="12"/>
  <c r="BJ25" i="12" s="1"/>
  <c r="BI27" i="12"/>
  <c r="BI28" i="12" s="1"/>
  <c r="BH15" i="12"/>
  <c r="BH16" i="12" s="1"/>
  <c r="BH23" i="12"/>
  <c r="BI6" i="12"/>
  <c r="BI13" i="12" s="1"/>
  <c r="BH12" i="12"/>
  <c r="BH39" i="12"/>
  <c r="BJ36" i="12"/>
  <c r="BE40" i="9"/>
  <c r="BD45" i="9"/>
  <c r="BD48" i="9" s="1"/>
  <c r="BE46" i="9"/>
  <c r="FC1" i="12"/>
  <c r="FB15" i="12"/>
  <c r="FB27" i="12"/>
  <c r="FB40" i="12"/>
  <c r="BJ37" i="12" l="1"/>
  <c r="BJ38" i="12"/>
  <c r="BJ40" i="12" s="1"/>
  <c r="BJ41" i="12" s="1"/>
  <c r="BI26" i="12"/>
  <c r="BJ24" i="12"/>
  <c r="BK22" i="12"/>
  <c r="BK25" i="12" s="1"/>
  <c r="BJ27" i="12"/>
  <c r="BJ28" i="12" s="1"/>
  <c r="BI12" i="12"/>
  <c r="BJ6" i="12"/>
  <c r="BJ13" i="12" s="1"/>
  <c r="BI15" i="12"/>
  <c r="BI16" i="12" s="1"/>
  <c r="BI23" i="12"/>
  <c r="BI39" i="12"/>
  <c r="BK36" i="12"/>
  <c r="BF46" i="9"/>
  <c r="BF40" i="9"/>
  <c r="BF45" i="9" s="1"/>
  <c r="BE45" i="9"/>
  <c r="BE48" i="9" s="1"/>
  <c r="FD1" i="12"/>
  <c r="FC15" i="12"/>
  <c r="FC27" i="12"/>
  <c r="FC40" i="12"/>
  <c r="BK38" i="12" l="1"/>
  <c r="BK37" i="12"/>
  <c r="BJ26" i="12"/>
  <c r="BI14" i="12"/>
  <c r="BJ15" i="12"/>
  <c r="BK6" i="12"/>
  <c r="BK13" i="12" s="1"/>
  <c r="BJ12" i="12"/>
  <c r="BJ23" i="12"/>
  <c r="BJ16" i="12"/>
  <c r="BL22" i="12"/>
  <c r="BL25" i="12" s="1"/>
  <c r="BK27" i="12"/>
  <c r="BK28" i="12" s="1"/>
  <c r="BK24" i="12"/>
  <c r="BJ39" i="12"/>
  <c r="BL36" i="12"/>
  <c r="BF48" i="9"/>
  <c r="G47" i="9"/>
  <c r="FE1" i="12"/>
  <c r="FD15" i="12"/>
  <c r="FD27" i="12"/>
  <c r="FD40" i="12"/>
  <c r="H64" i="9" l="1"/>
  <c r="D67" i="9" s="1"/>
  <c r="BL37" i="12"/>
  <c r="BL38" i="12"/>
  <c r="BJ14" i="12"/>
  <c r="BK14" i="12" s="1"/>
  <c r="BL6" i="12"/>
  <c r="BL13" i="12" s="1"/>
  <c r="BK23" i="12"/>
  <c r="BK12" i="12"/>
  <c r="BK15" i="12"/>
  <c r="BK16" i="12" s="1"/>
  <c r="BL24" i="12"/>
  <c r="BK26" i="12"/>
  <c r="BK39" i="12"/>
  <c r="BK40" i="12"/>
  <c r="BK41" i="12" s="1"/>
  <c r="FF1" i="12"/>
  <c r="FE15" i="12"/>
  <c r="FE27" i="12"/>
  <c r="FE40" i="12"/>
  <c r="BL26" i="12" l="1"/>
  <c r="BM26" i="12" s="1"/>
  <c r="BN26" i="12" s="1"/>
  <c r="BO26" i="12" s="1"/>
  <c r="BP26" i="12" s="1"/>
  <c r="BQ26" i="12" s="1"/>
  <c r="BR26" i="12" s="1"/>
  <c r="BS26" i="12" s="1"/>
  <c r="BT26" i="12" s="1"/>
  <c r="BU26" i="12" s="1"/>
  <c r="BV26" i="12" s="1"/>
  <c r="BW26" i="12" s="1"/>
  <c r="BX26" i="12" s="1"/>
  <c r="BY26" i="12" s="1"/>
  <c r="BZ26" i="12" s="1"/>
  <c r="CA26" i="12" s="1"/>
  <c r="CB26" i="12" s="1"/>
  <c r="CC26" i="12" s="1"/>
  <c r="CD26" i="12" s="1"/>
  <c r="CE26" i="12" s="1"/>
  <c r="CF26" i="12" s="1"/>
  <c r="CG26" i="12" s="1"/>
  <c r="CH26" i="12" s="1"/>
  <c r="CI26" i="12" s="1"/>
  <c r="CJ26" i="12" s="1"/>
  <c r="CK26" i="12" s="1"/>
  <c r="CL26" i="12" s="1"/>
  <c r="CM26" i="12" s="1"/>
  <c r="CN26" i="12" s="1"/>
  <c r="CO26" i="12" s="1"/>
  <c r="CP26" i="12" s="1"/>
  <c r="CQ26" i="12" s="1"/>
  <c r="CR26" i="12" s="1"/>
  <c r="CS26" i="12" s="1"/>
  <c r="CT26" i="12" s="1"/>
  <c r="CU26" i="12" s="1"/>
  <c r="CV26" i="12" s="1"/>
  <c r="CW26" i="12" s="1"/>
  <c r="CX26" i="12" s="1"/>
  <c r="CY26" i="12" s="1"/>
  <c r="CZ26" i="12" s="1"/>
  <c r="DA26" i="12" s="1"/>
  <c r="DB26" i="12" s="1"/>
  <c r="DC26" i="12" s="1"/>
  <c r="DD26" i="12" s="1"/>
  <c r="DE26" i="12" s="1"/>
  <c r="DF26" i="12" s="1"/>
  <c r="DG26" i="12" s="1"/>
  <c r="DH26" i="12" s="1"/>
  <c r="DI26" i="12" s="1"/>
  <c r="DJ26" i="12" s="1"/>
  <c r="DK26" i="12" s="1"/>
  <c r="DL26" i="12" s="1"/>
  <c r="DM26" i="12" s="1"/>
  <c r="DN26" i="12" s="1"/>
  <c r="DO26" i="12" s="1"/>
  <c r="DP26" i="12" s="1"/>
  <c r="DQ26" i="12" s="1"/>
  <c r="DR26" i="12" s="1"/>
  <c r="DS26" i="12" s="1"/>
  <c r="DT26" i="12" s="1"/>
  <c r="DU26" i="12" s="1"/>
  <c r="DV26" i="12" s="1"/>
  <c r="DW26" i="12" s="1"/>
  <c r="DX26" i="12" s="1"/>
  <c r="DY26" i="12" s="1"/>
  <c r="DZ26" i="12" s="1"/>
  <c r="EA26" i="12" s="1"/>
  <c r="EB26" i="12" s="1"/>
  <c r="EC26" i="12" s="1"/>
  <c r="ED26" i="12" s="1"/>
  <c r="EE26" i="12" s="1"/>
  <c r="EF26" i="12" s="1"/>
  <c r="EG26" i="12" s="1"/>
  <c r="EH26" i="12" s="1"/>
  <c r="EI26" i="12" s="1"/>
  <c r="EJ26" i="12" s="1"/>
  <c r="EK26" i="12" s="1"/>
  <c r="EL26" i="12" s="1"/>
  <c r="EM26" i="12" s="1"/>
  <c r="EN26" i="12" s="1"/>
  <c r="EO26" i="12" s="1"/>
  <c r="EP26" i="12" s="1"/>
  <c r="EQ26" i="12" s="1"/>
  <c r="ER26" i="12" s="1"/>
  <c r="ES26" i="12" s="1"/>
  <c r="ET26" i="12" s="1"/>
  <c r="EU26" i="12" s="1"/>
  <c r="EV26" i="12" s="1"/>
  <c r="EW26" i="12" s="1"/>
  <c r="EX26" i="12" s="1"/>
  <c r="EY26" i="12" s="1"/>
  <c r="EZ26" i="12" s="1"/>
  <c r="FA26" i="12" s="1"/>
  <c r="FB26" i="12" s="1"/>
  <c r="FC26" i="12" s="1"/>
  <c r="FD26" i="12" s="1"/>
  <c r="FE26" i="12" s="1"/>
  <c r="FF26" i="12" s="1"/>
  <c r="FG26" i="12" s="1"/>
  <c r="FH26" i="12" s="1"/>
  <c r="FI26" i="12" s="1"/>
  <c r="FJ26" i="12" s="1"/>
  <c r="FK26" i="12" s="1"/>
  <c r="FL26" i="12" s="1"/>
  <c r="FM26" i="12" s="1"/>
  <c r="FN26" i="12" s="1"/>
  <c r="FO26" i="12" s="1"/>
  <c r="FP26" i="12" s="1"/>
  <c r="FQ26" i="12" s="1"/>
  <c r="FR26" i="12" s="1"/>
  <c r="FS26" i="12" s="1"/>
  <c r="FT26" i="12" s="1"/>
  <c r="FU26" i="12" s="1"/>
  <c r="FV26" i="12" s="1"/>
  <c r="FW26" i="12" s="1"/>
  <c r="FX26" i="12" s="1"/>
  <c r="FY26" i="12" s="1"/>
  <c r="FZ26" i="12" s="1"/>
  <c r="GA26" i="12" s="1"/>
  <c r="GB26" i="12" s="1"/>
  <c r="GC26" i="12" s="1"/>
  <c r="GD26" i="12" s="1"/>
  <c r="GE26" i="12" s="1"/>
  <c r="GF26" i="12" s="1"/>
  <c r="GG26" i="12" s="1"/>
  <c r="GH26" i="12" s="1"/>
  <c r="GI26" i="12" s="1"/>
  <c r="GJ26" i="12" s="1"/>
  <c r="GK26" i="12" s="1"/>
  <c r="GL26" i="12" s="1"/>
  <c r="GM26" i="12" s="1"/>
  <c r="GN26" i="12" s="1"/>
  <c r="GO26" i="12" s="1"/>
  <c r="GP26" i="12" s="1"/>
  <c r="GQ26" i="12" s="1"/>
  <c r="GR26" i="12" s="1"/>
  <c r="GS26" i="12" s="1"/>
  <c r="GT26" i="12" s="1"/>
  <c r="GU26" i="12" s="1"/>
  <c r="GV26" i="12" s="1"/>
  <c r="GW26" i="12" s="1"/>
  <c r="GX26" i="12" s="1"/>
  <c r="GY26" i="12" s="1"/>
  <c r="GZ26" i="12" s="1"/>
  <c r="HA26" i="12" s="1"/>
  <c r="HB26" i="12" s="1"/>
  <c r="HC26" i="12" s="1"/>
  <c r="HD26" i="12" s="1"/>
  <c r="HE26" i="12" s="1"/>
  <c r="HF26" i="12" s="1"/>
  <c r="HG26" i="12" s="1"/>
  <c r="HH26" i="12" s="1"/>
  <c r="HI26" i="12" s="1"/>
  <c r="HJ26" i="12" s="1"/>
  <c r="HK26" i="12" s="1"/>
  <c r="HL26" i="12" s="1"/>
  <c r="HM26" i="12" s="1"/>
  <c r="HN26" i="12" s="1"/>
  <c r="HO26" i="12" s="1"/>
  <c r="HP26" i="12" s="1"/>
  <c r="HQ26" i="12" s="1"/>
  <c r="HR26" i="12" s="1"/>
  <c r="HS26" i="12" s="1"/>
  <c r="HT26" i="12" s="1"/>
  <c r="HU26" i="12" s="1"/>
  <c r="HV26" i="12" s="1"/>
  <c r="HW26" i="12" s="1"/>
  <c r="HX26" i="12" s="1"/>
  <c r="HY26" i="12" s="1"/>
  <c r="HZ26" i="12" s="1"/>
  <c r="IA26" i="12" s="1"/>
  <c r="IB26" i="12" s="1"/>
  <c r="IC26" i="12" s="1"/>
  <c r="ID26" i="12" s="1"/>
  <c r="IE26" i="12" s="1"/>
  <c r="IF26" i="12" s="1"/>
  <c r="IG26" i="12" s="1"/>
  <c r="B31" i="12" s="1"/>
  <c r="C31" i="12" s="1"/>
  <c r="BL27" i="12"/>
  <c r="BL28" i="12" s="1"/>
  <c r="BM28" i="12" s="1"/>
  <c r="BN28" i="12" s="1"/>
  <c r="BO28" i="12" s="1"/>
  <c r="BP28" i="12" s="1"/>
  <c r="BQ28" i="12" s="1"/>
  <c r="BR28" i="12" s="1"/>
  <c r="BS28" i="12" s="1"/>
  <c r="BT28" i="12" s="1"/>
  <c r="BU28" i="12" s="1"/>
  <c r="BV28" i="12" s="1"/>
  <c r="BW28" i="12" s="1"/>
  <c r="BX28" i="12" s="1"/>
  <c r="BY28" i="12" s="1"/>
  <c r="BZ28" i="12" s="1"/>
  <c r="CA28" i="12" s="1"/>
  <c r="CB28" i="12" s="1"/>
  <c r="CC28" i="12" s="1"/>
  <c r="CD28" i="12" s="1"/>
  <c r="CE28" i="12" s="1"/>
  <c r="CF28" i="12" s="1"/>
  <c r="CG28" i="12" s="1"/>
  <c r="CH28" i="12" s="1"/>
  <c r="CI28" i="12" s="1"/>
  <c r="CJ28" i="12" s="1"/>
  <c r="CK28" i="12" s="1"/>
  <c r="CL28" i="12" s="1"/>
  <c r="CM28" i="12" s="1"/>
  <c r="CN28" i="12" s="1"/>
  <c r="CO28" i="12" s="1"/>
  <c r="CP28" i="12" s="1"/>
  <c r="CQ28" i="12" s="1"/>
  <c r="CR28" i="12" s="1"/>
  <c r="CS28" i="12" s="1"/>
  <c r="CT28" i="12" s="1"/>
  <c r="CU28" i="12" s="1"/>
  <c r="CV28" i="12" s="1"/>
  <c r="CW28" i="12" s="1"/>
  <c r="CX28" i="12" s="1"/>
  <c r="CY28" i="12" s="1"/>
  <c r="CZ28" i="12" s="1"/>
  <c r="DA28" i="12" s="1"/>
  <c r="DB28" i="12" s="1"/>
  <c r="DC28" i="12" s="1"/>
  <c r="DD28" i="12" s="1"/>
  <c r="DE28" i="12" s="1"/>
  <c r="DF28" i="12" s="1"/>
  <c r="DG28" i="12" s="1"/>
  <c r="DH28" i="12" s="1"/>
  <c r="DI28" i="12" s="1"/>
  <c r="DJ28" i="12" s="1"/>
  <c r="DK28" i="12" s="1"/>
  <c r="DL28" i="12" s="1"/>
  <c r="DM28" i="12" s="1"/>
  <c r="DN28" i="12" s="1"/>
  <c r="DO28" i="12" s="1"/>
  <c r="DP28" i="12" s="1"/>
  <c r="DQ28" i="12" s="1"/>
  <c r="DR28" i="12" s="1"/>
  <c r="DS28" i="12" s="1"/>
  <c r="DT28" i="12" s="1"/>
  <c r="DU28" i="12" s="1"/>
  <c r="DV28" i="12" s="1"/>
  <c r="DW28" i="12" s="1"/>
  <c r="DX28" i="12" s="1"/>
  <c r="DY28" i="12" s="1"/>
  <c r="DZ28" i="12" s="1"/>
  <c r="EA28" i="12" s="1"/>
  <c r="EB28" i="12" s="1"/>
  <c r="EC28" i="12" s="1"/>
  <c r="ED28" i="12" s="1"/>
  <c r="EE28" i="12" s="1"/>
  <c r="EF28" i="12" s="1"/>
  <c r="EG28" i="12" s="1"/>
  <c r="EH28" i="12" s="1"/>
  <c r="EI28" i="12" s="1"/>
  <c r="EJ28" i="12" s="1"/>
  <c r="EK28" i="12" s="1"/>
  <c r="EL28" i="12" s="1"/>
  <c r="EM28" i="12" s="1"/>
  <c r="EN28" i="12" s="1"/>
  <c r="EO28" i="12" s="1"/>
  <c r="EP28" i="12" s="1"/>
  <c r="EQ28" i="12" s="1"/>
  <c r="ER28" i="12" s="1"/>
  <c r="ES28" i="12" s="1"/>
  <c r="ET28" i="12" s="1"/>
  <c r="EU28" i="12" s="1"/>
  <c r="EV28" i="12" s="1"/>
  <c r="EW28" i="12" s="1"/>
  <c r="EX28" i="12" s="1"/>
  <c r="EY28" i="12" s="1"/>
  <c r="EZ28" i="12" s="1"/>
  <c r="FA28" i="12" s="1"/>
  <c r="FB28" i="12" s="1"/>
  <c r="FC28" i="12" s="1"/>
  <c r="FD28" i="12" s="1"/>
  <c r="B30" i="12"/>
  <c r="B29" i="12"/>
  <c r="E17" i="14"/>
  <c r="BL12" i="12"/>
  <c r="BL23" i="12"/>
  <c r="FE28" i="12"/>
  <c r="BL14" i="12"/>
  <c r="BM14" i="12" s="1"/>
  <c r="BN14" i="12" s="1"/>
  <c r="BO14" i="12" s="1"/>
  <c r="BP14" i="12" s="1"/>
  <c r="BQ14" i="12" s="1"/>
  <c r="BR14" i="12" s="1"/>
  <c r="BS14" i="12" s="1"/>
  <c r="BT14" i="12" s="1"/>
  <c r="BU14" i="12" s="1"/>
  <c r="BV14" i="12" s="1"/>
  <c r="BW14" i="12" s="1"/>
  <c r="BX14" i="12" s="1"/>
  <c r="BY14" i="12" s="1"/>
  <c r="BZ14" i="12" s="1"/>
  <c r="CA14" i="12" s="1"/>
  <c r="CB14" i="12" s="1"/>
  <c r="CC14" i="12" s="1"/>
  <c r="CD14" i="12" s="1"/>
  <c r="CE14" i="12" s="1"/>
  <c r="CF14" i="12" s="1"/>
  <c r="CG14" i="12" s="1"/>
  <c r="CH14" i="12" s="1"/>
  <c r="CI14" i="12" s="1"/>
  <c r="CJ14" i="12" s="1"/>
  <c r="CK14" i="12" s="1"/>
  <c r="CL14" i="12" s="1"/>
  <c r="CM14" i="12" s="1"/>
  <c r="CN14" i="12" s="1"/>
  <c r="CO14" i="12" s="1"/>
  <c r="CP14" i="12" s="1"/>
  <c r="CQ14" i="12" s="1"/>
  <c r="CR14" i="12" s="1"/>
  <c r="CS14" i="12" s="1"/>
  <c r="CT14" i="12" s="1"/>
  <c r="CU14" i="12" s="1"/>
  <c r="CV14" i="12" s="1"/>
  <c r="CW14" i="12" s="1"/>
  <c r="CX14" i="12" s="1"/>
  <c r="CY14" i="12" s="1"/>
  <c r="CZ14" i="12" s="1"/>
  <c r="DA14" i="12" s="1"/>
  <c r="DB14" i="12" s="1"/>
  <c r="DC14" i="12" s="1"/>
  <c r="DD14" i="12" s="1"/>
  <c r="DE14" i="12" s="1"/>
  <c r="DF14" i="12" s="1"/>
  <c r="DG14" i="12" s="1"/>
  <c r="DH14" i="12" s="1"/>
  <c r="DI14" i="12" s="1"/>
  <c r="DJ14" i="12" s="1"/>
  <c r="DK14" i="12" s="1"/>
  <c r="DL14" i="12" s="1"/>
  <c r="DM14" i="12" s="1"/>
  <c r="DN14" i="12" s="1"/>
  <c r="DO14" i="12" s="1"/>
  <c r="DP14" i="12" s="1"/>
  <c r="DQ14" i="12" s="1"/>
  <c r="DR14" i="12" s="1"/>
  <c r="DS14" i="12" s="1"/>
  <c r="DT14" i="12" s="1"/>
  <c r="DU14" i="12" s="1"/>
  <c r="DV14" i="12" s="1"/>
  <c r="DW14" i="12" s="1"/>
  <c r="DX14" i="12" s="1"/>
  <c r="DY14" i="12" s="1"/>
  <c r="DZ14" i="12" s="1"/>
  <c r="EA14" i="12" s="1"/>
  <c r="EB14" i="12" s="1"/>
  <c r="EC14" i="12" s="1"/>
  <c r="ED14" i="12" s="1"/>
  <c r="EE14" i="12" s="1"/>
  <c r="EF14" i="12" s="1"/>
  <c r="EG14" i="12" s="1"/>
  <c r="EH14" i="12" s="1"/>
  <c r="EI14" i="12" s="1"/>
  <c r="EJ14" i="12" s="1"/>
  <c r="EK14" i="12" s="1"/>
  <c r="EL14" i="12" s="1"/>
  <c r="EM14" i="12" s="1"/>
  <c r="EN14" i="12" s="1"/>
  <c r="EO14" i="12" s="1"/>
  <c r="EP14" i="12" s="1"/>
  <c r="EQ14" i="12" s="1"/>
  <c r="ER14" i="12" s="1"/>
  <c r="ES14" i="12" s="1"/>
  <c r="ET14" i="12" s="1"/>
  <c r="EU14" i="12" s="1"/>
  <c r="EV14" i="12" s="1"/>
  <c r="EW14" i="12" s="1"/>
  <c r="EX14" i="12" s="1"/>
  <c r="EY14" i="12" s="1"/>
  <c r="EZ14" i="12" s="1"/>
  <c r="FA14" i="12" s="1"/>
  <c r="FB14" i="12" s="1"/>
  <c r="FC14" i="12" s="1"/>
  <c r="FD14" i="12" s="1"/>
  <c r="FE14" i="12" s="1"/>
  <c r="FF14" i="12" s="1"/>
  <c r="FG14" i="12" s="1"/>
  <c r="FH14" i="12" s="1"/>
  <c r="FI14" i="12" s="1"/>
  <c r="FJ14" i="12" s="1"/>
  <c r="FK14" i="12" s="1"/>
  <c r="FL14" i="12" s="1"/>
  <c r="FM14" i="12" s="1"/>
  <c r="FN14" i="12" s="1"/>
  <c r="FO14" i="12" s="1"/>
  <c r="FP14" i="12" s="1"/>
  <c r="FQ14" i="12" s="1"/>
  <c r="FR14" i="12" s="1"/>
  <c r="FS14" i="12" s="1"/>
  <c r="FT14" i="12" s="1"/>
  <c r="FU14" i="12" s="1"/>
  <c r="FV14" i="12" s="1"/>
  <c r="FW14" i="12" s="1"/>
  <c r="FX14" i="12" s="1"/>
  <c r="FY14" i="12" s="1"/>
  <c r="FZ14" i="12" s="1"/>
  <c r="GA14" i="12" s="1"/>
  <c r="GB14" i="12" s="1"/>
  <c r="GC14" i="12" s="1"/>
  <c r="GD14" i="12" s="1"/>
  <c r="GE14" i="12" s="1"/>
  <c r="GF14" i="12" s="1"/>
  <c r="GG14" i="12" s="1"/>
  <c r="GH14" i="12" s="1"/>
  <c r="GI14" i="12" s="1"/>
  <c r="GJ14" i="12" s="1"/>
  <c r="GK14" i="12" s="1"/>
  <c r="GL14" i="12" s="1"/>
  <c r="GM14" i="12" s="1"/>
  <c r="GN14" i="12" s="1"/>
  <c r="GO14" i="12" s="1"/>
  <c r="GP14" i="12" s="1"/>
  <c r="GQ14" i="12" s="1"/>
  <c r="GR14" i="12" s="1"/>
  <c r="GS14" i="12" s="1"/>
  <c r="GT14" i="12" s="1"/>
  <c r="GU14" i="12" s="1"/>
  <c r="GV14" i="12" s="1"/>
  <c r="GW14" i="12" s="1"/>
  <c r="GX14" i="12" s="1"/>
  <c r="GY14" i="12" s="1"/>
  <c r="GZ14" i="12" s="1"/>
  <c r="HA14" i="12" s="1"/>
  <c r="HB14" i="12" s="1"/>
  <c r="HC14" i="12" s="1"/>
  <c r="HD14" i="12" s="1"/>
  <c r="HE14" i="12" s="1"/>
  <c r="HF14" i="12" s="1"/>
  <c r="HG14" i="12" s="1"/>
  <c r="HH14" i="12" s="1"/>
  <c r="HI14" i="12" s="1"/>
  <c r="HJ14" i="12" s="1"/>
  <c r="HK14" i="12" s="1"/>
  <c r="HL14" i="12" s="1"/>
  <c r="HM14" i="12" s="1"/>
  <c r="HN14" i="12" s="1"/>
  <c r="HO14" i="12" s="1"/>
  <c r="HP14" i="12" s="1"/>
  <c r="HQ14" i="12" s="1"/>
  <c r="HR14" i="12" s="1"/>
  <c r="HS14" i="12" s="1"/>
  <c r="HT14" i="12" s="1"/>
  <c r="HU14" i="12" s="1"/>
  <c r="HV14" i="12" s="1"/>
  <c r="HW14" i="12" s="1"/>
  <c r="HX14" i="12" s="1"/>
  <c r="HY14" i="12" s="1"/>
  <c r="HZ14" i="12" s="1"/>
  <c r="IA14" i="12" s="1"/>
  <c r="IB14" i="12" s="1"/>
  <c r="IC14" i="12" s="1"/>
  <c r="ID14" i="12" s="1"/>
  <c r="IE14" i="12" s="1"/>
  <c r="IF14" i="12" s="1"/>
  <c r="IG14" i="12" s="1"/>
  <c r="B19" i="12" s="1"/>
  <c r="BL40" i="12"/>
  <c r="BL41" i="12" s="1"/>
  <c r="BM41" i="12" s="1"/>
  <c r="BN41" i="12" s="1"/>
  <c r="BO41" i="12" s="1"/>
  <c r="BP41" i="12" s="1"/>
  <c r="BQ41" i="12" s="1"/>
  <c r="BR41" i="12" s="1"/>
  <c r="BS41" i="12" s="1"/>
  <c r="BT41" i="12" s="1"/>
  <c r="BU41" i="12" s="1"/>
  <c r="BV41" i="12" s="1"/>
  <c r="BW41" i="12" s="1"/>
  <c r="BX41" i="12" s="1"/>
  <c r="BY41" i="12" s="1"/>
  <c r="BZ41" i="12" s="1"/>
  <c r="CA41" i="12" s="1"/>
  <c r="CB41" i="12" s="1"/>
  <c r="CC41" i="12" s="1"/>
  <c r="CD41" i="12" s="1"/>
  <c r="CE41" i="12" s="1"/>
  <c r="CF41" i="12" s="1"/>
  <c r="CG41" i="12" s="1"/>
  <c r="CH41" i="12" s="1"/>
  <c r="CI41" i="12" s="1"/>
  <c r="CJ41" i="12" s="1"/>
  <c r="CK41" i="12" s="1"/>
  <c r="CL41" i="12" s="1"/>
  <c r="CM41" i="12" s="1"/>
  <c r="CN41" i="12" s="1"/>
  <c r="CO41" i="12" s="1"/>
  <c r="CP41" i="12" s="1"/>
  <c r="CQ41" i="12" s="1"/>
  <c r="CR41" i="12" s="1"/>
  <c r="CS41" i="12" s="1"/>
  <c r="CT41" i="12" s="1"/>
  <c r="CU41" i="12" s="1"/>
  <c r="CV41" i="12" s="1"/>
  <c r="CW41" i="12" s="1"/>
  <c r="CX41" i="12" s="1"/>
  <c r="CY41" i="12" s="1"/>
  <c r="CZ41" i="12" s="1"/>
  <c r="DA41" i="12" s="1"/>
  <c r="DB41" i="12" s="1"/>
  <c r="DC41" i="12" s="1"/>
  <c r="DD41" i="12" s="1"/>
  <c r="DE41" i="12" s="1"/>
  <c r="DF41" i="12" s="1"/>
  <c r="DG41" i="12" s="1"/>
  <c r="DH41" i="12" s="1"/>
  <c r="DI41" i="12" s="1"/>
  <c r="DJ41" i="12" s="1"/>
  <c r="DK41" i="12" s="1"/>
  <c r="DL41" i="12" s="1"/>
  <c r="DM41" i="12" s="1"/>
  <c r="DN41" i="12" s="1"/>
  <c r="DO41" i="12" s="1"/>
  <c r="DP41" i="12" s="1"/>
  <c r="DQ41" i="12" s="1"/>
  <c r="DR41" i="12" s="1"/>
  <c r="DS41" i="12" s="1"/>
  <c r="DT41" i="12" s="1"/>
  <c r="DU41" i="12" s="1"/>
  <c r="DV41" i="12" s="1"/>
  <c r="DW41" i="12" s="1"/>
  <c r="DX41" i="12" s="1"/>
  <c r="DY41" i="12" s="1"/>
  <c r="DZ41" i="12" s="1"/>
  <c r="EA41" i="12" s="1"/>
  <c r="EB41" i="12" s="1"/>
  <c r="EC41" i="12" s="1"/>
  <c r="ED41" i="12" s="1"/>
  <c r="EE41" i="12" s="1"/>
  <c r="EF41" i="12" s="1"/>
  <c r="EG41" i="12" s="1"/>
  <c r="EH41" i="12" s="1"/>
  <c r="EI41" i="12" s="1"/>
  <c r="EJ41" i="12" s="1"/>
  <c r="EK41" i="12" s="1"/>
  <c r="EL41" i="12" s="1"/>
  <c r="EM41" i="12" s="1"/>
  <c r="EN41" i="12" s="1"/>
  <c r="EO41" i="12" s="1"/>
  <c r="EP41" i="12" s="1"/>
  <c r="EQ41" i="12" s="1"/>
  <c r="ER41" i="12" s="1"/>
  <c r="ES41" i="12" s="1"/>
  <c r="ET41" i="12" s="1"/>
  <c r="EU41" i="12" s="1"/>
  <c r="EV41" i="12" s="1"/>
  <c r="EW41" i="12" s="1"/>
  <c r="EX41" i="12" s="1"/>
  <c r="EY41" i="12" s="1"/>
  <c r="EZ41" i="12" s="1"/>
  <c r="FA41" i="12" s="1"/>
  <c r="FB41" i="12" s="1"/>
  <c r="FC41" i="12" s="1"/>
  <c r="FD41" i="12" s="1"/>
  <c r="FE41" i="12" s="1"/>
  <c r="B43" i="12"/>
  <c r="B42" i="12"/>
  <c r="BL39" i="12"/>
  <c r="BM39" i="12" s="1"/>
  <c r="BN39" i="12" s="1"/>
  <c r="BO39" i="12" s="1"/>
  <c r="BP39" i="12" s="1"/>
  <c r="BQ39" i="12" s="1"/>
  <c r="BR39" i="12" s="1"/>
  <c r="BS39" i="12" s="1"/>
  <c r="BT39" i="12" s="1"/>
  <c r="BU39" i="12" s="1"/>
  <c r="BV39" i="12" s="1"/>
  <c r="BW39" i="12" s="1"/>
  <c r="BX39" i="12" s="1"/>
  <c r="BY39" i="12" s="1"/>
  <c r="BZ39" i="12" s="1"/>
  <c r="CA39" i="12" s="1"/>
  <c r="CB39" i="12" s="1"/>
  <c r="CC39" i="12" s="1"/>
  <c r="CD39" i="12" s="1"/>
  <c r="CE39" i="12" s="1"/>
  <c r="CF39" i="12" s="1"/>
  <c r="CG39" i="12" s="1"/>
  <c r="CH39" i="12" s="1"/>
  <c r="CI39" i="12" s="1"/>
  <c r="CJ39" i="12" s="1"/>
  <c r="CK39" i="12" s="1"/>
  <c r="CL39" i="12" s="1"/>
  <c r="CM39" i="12" s="1"/>
  <c r="CN39" i="12" s="1"/>
  <c r="CO39" i="12" s="1"/>
  <c r="CP39" i="12" s="1"/>
  <c r="CQ39" i="12" s="1"/>
  <c r="CR39" i="12" s="1"/>
  <c r="CS39" i="12" s="1"/>
  <c r="CT39" i="12" s="1"/>
  <c r="CU39" i="12" s="1"/>
  <c r="CV39" i="12" s="1"/>
  <c r="CW39" i="12" s="1"/>
  <c r="CX39" i="12" s="1"/>
  <c r="CY39" i="12" s="1"/>
  <c r="CZ39" i="12" s="1"/>
  <c r="DA39" i="12" s="1"/>
  <c r="DB39" i="12" s="1"/>
  <c r="DC39" i="12" s="1"/>
  <c r="DD39" i="12" s="1"/>
  <c r="DE39" i="12" s="1"/>
  <c r="DF39" i="12" s="1"/>
  <c r="DG39" i="12" s="1"/>
  <c r="DH39" i="12" s="1"/>
  <c r="DI39" i="12" s="1"/>
  <c r="DJ39" i="12" s="1"/>
  <c r="DK39" i="12" s="1"/>
  <c r="DL39" i="12" s="1"/>
  <c r="DM39" i="12" s="1"/>
  <c r="DN39" i="12" s="1"/>
  <c r="DO39" i="12" s="1"/>
  <c r="DP39" i="12" s="1"/>
  <c r="DQ39" i="12" s="1"/>
  <c r="DR39" i="12" s="1"/>
  <c r="DS39" i="12" s="1"/>
  <c r="DT39" i="12" s="1"/>
  <c r="DU39" i="12" s="1"/>
  <c r="DV39" i="12" s="1"/>
  <c r="DW39" i="12" s="1"/>
  <c r="DX39" i="12" s="1"/>
  <c r="DY39" i="12" s="1"/>
  <c r="DZ39" i="12" s="1"/>
  <c r="EA39" i="12" s="1"/>
  <c r="EB39" i="12" s="1"/>
  <c r="EC39" i="12" s="1"/>
  <c r="ED39" i="12" s="1"/>
  <c r="EE39" i="12" s="1"/>
  <c r="EF39" i="12" s="1"/>
  <c r="EG39" i="12" s="1"/>
  <c r="EH39" i="12" s="1"/>
  <c r="EI39" i="12" s="1"/>
  <c r="EJ39" i="12" s="1"/>
  <c r="EK39" i="12" s="1"/>
  <c r="EL39" i="12" s="1"/>
  <c r="EM39" i="12" s="1"/>
  <c r="EN39" i="12" s="1"/>
  <c r="EO39" i="12" s="1"/>
  <c r="EP39" i="12" s="1"/>
  <c r="EQ39" i="12" s="1"/>
  <c r="ER39" i="12" s="1"/>
  <c r="ES39" i="12" s="1"/>
  <c r="ET39" i="12" s="1"/>
  <c r="EU39" i="12" s="1"/>
  <c r="EV39" i="12" s="1"/>
  <c r="EW39" i="12" s="1"/>
  <c r="EX39" i="12" s="1"/>
  <c r="EY39" i="12" s="1"/>
  <c r="EZ39" i="12" s="1"/>
  <c r="FA39" i="12" s="1"/>
  <c r="FB39" i="12" s="1"/>
  <c r="FC39" i="12" s="1"/>
  <c r="FD39" i="12" s="1"/>
  <c r="FE39" i="12" s="1"/>
  <c r="FF39" i="12" s="1"/>
  <c r="FG39" i="12" s="1"/>
  <c r="FH39" i="12" s="1"/>
  <c r="FI39" i="12" s="1"/>
  <c r="FJ39" i="12" s="1"/>
  <c r="FK39" i="12" s="1"/>
  <c r="FL39" i="12" s="1"/>
  <c r="FM39" i="12" s="1"/>
  <c r="FN39" i="12" s="1"/>
  <c r="FO39" i="12" s="1"/>
  <c r="FP39" i="12" s="1"/>
  <c r="FQ39" i="12" s="1"/>
  <c r="FR39" i="12" s="1"/>
  <c r="FS39" i="12" s="1"/>
  <c r="FT39" i="12" s="1"/>
  <c r="FU39" i="12" s="1"/>
  <c r="FV39" i="12" s="1"/>
  <c r="FW39" i="12" s="1"/>
  <c r="FX39" i="12" s="1"/>
  <c r="FY39" i="12" s="1"/>
  <c r="FZ39" i="12" s="1"/>
  <c r="GA39" i="12" s="1"/>
  <c r="GB39" i="12" s="1"/>
  <c r="GC39" i="12" s="1"/>
  <c r="GD39" i="12" s="1"/>
  <c r="GE39" i="12" s="1"/>
  <c r="GF39" i="12" s="1"/>
  <c r="GG39" i="12" s="1"/>
  <c r="GH39" i="12" s="1"/>
  <c r="GI39" i="12" s="1"/>
  <c r="GJ39" i="12" s="1"/>
  <c r="GK39" i="12" s="1"/>
  <c r="GL39" i="12" s="1"/>
  <c r="GM39" i="12" s="1"/>
  <c r="GN39" i="12" s="1"/>
  <c r="GO39" i="12" s="1"/>
  <c r="GP39" i="12" s="1"/>
  <c r="GQ39" i="12" s="1"/>
  <c r="GR39" i="12" s="1"/>
  <c r="GS39" i="12" s="1"/>
  <c r="GT39" i="12" s="1"/>
  <c r="GU39" i="12" s="1"/>
  <c r="GV39" i="12" s="1"/>
  <c r="GW39" i="12" s="1"/>
  <c r="GX39" i="12" s="1"/>
  <c r="GY39" i="12" s="1"/>
  <c r="GZ39" i="12" s="1"/>
  <c r="HA39" i="12" s="1"/>
  <c r="HB39" i="12" s="1"/>
  <c r="HC39" i="12" s="1"/>
  <c r="HD39" i="12" s="1"/>
  <c r="HE39" i="12" s="1"/>
  <c r="HF39" i="12" s="1"/>
  <c r="HG39" i="12" s="1"/>
  <c r="HH39" i="12" s="1"/>
  <c r="HI39" i="12" s="1"/>
  <c r="HJ39" i="12" s="1"/>
  <c r="HK39" i="12" s="1"/>
  <c r="HL39" i="12" s="1"/>
  <c r="HM39" i="12" s="1"/>
  <c r="HN39" i="12" s="1"/>
  <c r="HO39" i="12" s="1"/>
  <c r="HP39" i="12" s="1"/>
  <c r="HQ39" i="12" s="1"/>
  <c r="HR39" i="12" s="1"/>
  <c r="HS39" i="12" s="1"/>
  <c r="HT39" i="12" s="1"/>
  <c r="HU39" i="12" s="1"/>
  <c r="HV39" i="12" s="1"/>
  <c r="HW39" i="12" s="1"/>
  <c r="HX39" i="12" s="1"/>
  <c r="HY39" i="12" s="1"/>
  <c r="HZ39" i="12" s="1"/>
  <c r="IA39" i="12" s="1"/>
  <c r="IB39" i="12" s="1"/>
  <c r="IC39" i="12" s="1"/>
  <c r="ID39" i="12" s="1"/>
  <c r="IE39" i="12" s="1"/>
  <c r="IF39" i="12" s="1"/>
  <c r="IG39" i="12" s="1"/>
  <c r="FG1" i="12"/>
  <c r="FF15" i="12"/>
  <c r="FF27" i="12"/>
  <c r="FF40" i="12"/>
  <c r="C19" i="12" l="1"/>
  <c r="G17" i="14"/>
  <c r="D38" i="14" s="1"/>
  <c r="E38" i="14" s="1"/>
  <c r="E17" i="15"/>
  <c r="BL15" i="12"/>
  <c r="BL16" i="12" s="1"/>
  <c r="BM16" i="12" s="1"/>
  <c r="BN16" i="12" s="1"/>
  <c r="BO16" i="12" s="1"/>
  <c r="BP16" i="12" s="1"/>
  <c r="BQ16" i="12" s="1"/>
  <c r="BR16" i="12" s="1"/>
  <c r="BS16" i="12" s="1"/>
  <c r="BT16" i="12" s="1"/>
  <c r="BU16" i="12" s="1"/>
  <c r="BV16" i="12" s="1"/>
  <c r="BW16" i="12" s="1"/>
  <c r="BX16" i="12" s="1"/>
  <c r="BY16" i="12" s="1"/>
  <c r="BZ16" i="12" s="1"/>
  <c r="CA16" i="12" s="1"/>
  <c r="CB16" i="12" s="1"/>
  <c r="CC16" i="12" s="1"/>
  <c r="CD16" i="12" s="1"/>
  <c r="CE16" i="12" s="1"/>
  <c r="CF16" i="12" s="1"/>
  <c r="CG16" i="12" s="1"/>
  <c r="CH16" i="12" s="1"/>
  <c r="CI16" i="12" s="1"/>
  <c r="CJ16" i="12" s="1"/>
  <c r="CK16" i="12" s="1"/>
  <c r="CL16" i="12" s="1"/>
  <c r="CM16" i="12" s="1"/>
  <c r="CN16" i="12" s="1"/>
  <c r="CO16" i="12" s="1"/>
  <c r="CP16" i="12" s="1"/>
  <c r="CQ16" i="12" s="1"/>
  <c r="CR16" i="12" s="1"/>
  <c r="CS16" i="12" s="1"/>
  <c r="CT16" i="12" s="1"/>
  <c r="CU16" i="12" s="1"/>
  <c r="CV16" i="12" s="1"/>
  <c r="CW16" i="12" s="1"/>
  <c r="CX16" i="12" s="1"/>
  <c r="CY16" i="12" s="1"/>
  <c r="CZ16" i="12" s="1"/>
  <c r="DA16" i="12" s="1"/>
  <c r="DB16" i="12" s="1"/>
  <c r="DC16" i="12" s="1"/>
  <c r="DD16" i="12" s="1"/>
  <c r="DE16" i="12" s="1"/>
  <c r="DF16" i="12" s="1"/>
  <c r="DG16" i="12" s="1"/>
  <c r="DH16" i="12" s="1"/>
  <c r="DI16" i="12" s="1"/>
  <c r="DJ16" i="12" s="1"/>
  <c r="DK16" i="12" s="1"/>
  <c r="DL16" i="12" s="1"/>
  <c r="DM16" i="12" s="1"/>
  <c r="DN16" i="12" s="1"/>
  <c r="DO16" i="12" s="1"/>
  <c r="DP16" i="12" s="1"/>
  <c r="DQ16" i="12" s="1"/>
  <c r="DR16" i="12" s="1"/>
  <c r="DS16" i="12" s="1"/>
  <c r="DT16" i="12" s="1"/>
  <c r="DU16" i="12" s="1"/>
  <c r="DV16" i="12" s="1"/>
  <c r="DW16" i="12" s="1"/>
  <c r="DX16" i="12" s="1"/>
  <c r="DY16" i="12" s="1"/>
  <c r="DZ16" i="12" s="1"/>
  <c r="EA16" i="12" s="1"/>
  <c r="EB16" i="12" s="1"/>
  <c r="EC16" i="12" s="1"/>
  <c r="ED16" i="12" s="1"/>
  <c r="EE16" i="12" s="1"/>
  <c r="EF16" i="12" s="1"/>
  <c r="EG16" i="12" s="1"/>
  <c r="EH16" i="12" s="1"/>
  <c r="EI16" i="12" s="1"/>
  <c r="EJ16" i="12" s="1"/>
  <c r="EK16" i="12" s="1"/>
  <c r="EL16" i="12" s="1"/>
  <c r="EM16" i="12" s="1"/>
  <c r="EN16" i="12" s="1"/>
  <c r="EO16" i="12" s="1"/>
  <c r="EP16" i="12" s="1"/>
  <c r="EQ16" i="12" s="1"/>
  <c r="ER16" i="12" s="1"/>
  <c r="ES16" i="12" s="1"/>
  <c r="ET16" i="12" s="1"/>
  <c r="EU16" i="12" s="1"/>
  <c r="EV16" i="12" s="1"/>
  <c r="EW16" i="12" s="1"/>
  <c r="EX16" i="12" s="1"/>
  <c r="EY16" i="12" s="1"/>
  <c r="EZ16" i="12" s="1"/>
  <c r="FA16" i="12" s="1"/>
  <c r="FB16" i="12" s="1"/>
  <c r="FC16" i="12" s="1"/>
  <c r="FD16" i="12" s="1"/>
  <c r="FE16" i="12" s="1"/>
  <c r="B18" i="12"/>
  <c r="B17" i="12"/>
  <c r="FF28" i="12"/>
  <c r="FF16" i="12"/>
  <c r="B44" i="12"/>
  <c r="C44" i="12"/>
  <c r="FF41" i="12"/>
  <c r="FH1" i="12"/>
  <c r="FG15" i="12"/>
  <c r="FG27" i="12"/>
  <c r="FG40" i="12"/>
  <c r="FG41" i="12" s="1"/>
  <c r="FG16" i="12" l="1"/>
  <c r="FG28" i="12"/>
  <c r="FI1" i="12"/>
  <c r="FH15" i="12"/>
  <c r="FH27" i="12"/>
  <c r="FH40" i="12"/>
  <c r="FH41" i="12" s="1"/>
  <c r="FH16" i="12" l="1"/>
  <c r="FH28" i="12"/>
  <c r="FJ1" i="12"/>
  <c r="FI15" i="12"/>
  <c r="FI27" i="12"/>
  <c r="FI40" i="12"/>
  <c r="FI41" i="12" s="1"/>
  <c r="FI16" i="12" l="1"/>
  <c r="FI28" i="12"/>
  <c r="FK1" i="12"/>
  <c r="FJ15" i="12"/>
  <c r="FJ27" i="12"/>
  <c r="FJ40" i="12"/>
  <c r="FJ41" i="12" s="1"/>
  <c r="FJ16" i="12" l="1"/>
  <c r="FJ28" i="12"/>
  <c r="FL1" i="12"/>
  <c r="FK15" i="12"/>
  <c r="FK27" i="12"/>
  <c r="FK40" i="12"/>
  <c r="FK41" i="12" s="1"/>
  <c r="FK16" i="12" l="1"/>
  <c r="FK28" i="12"/>
  <c r="FM1" i="12"/>
  <c r="FL15" i="12"/>
  <c r="FL27" i="12"/>
  <c r="FL40" i="12"/>
  <c r="FL41" i="12" s="1"/>
  <c r="FL16" i="12" l="1"/>
  <c r="FL28" i="12"/>
  <c r="FN1" i="12"/>
  <c r="FM15" i="12"/>
  <c r="FM27" i="12"/>
  <c r="FM40" i="12"/>
  <c r="FM41" i="12" s="1"/>
  <c r="FM16" i="12" l="1"/>
  <c r="FM28" i="12"/>
  <c r="FO1" i="12"/>
  <c r="FN15" i="12"/>
  <c r="FN27" i="12"/>
  <c r="FN40" i="12"/>
  <c r="FN41" i="12" s="1"/>
  <c r="FN16" i="12" l="1"/>
  <c r="FN28" i="12"/>
  <c r="FP1" i="12"/>
  <c r="FO15" i="12"/>
  <c r="FO27" i="12"/>
  <c r="FO40" i="12"/>
  <c r="FO41" i="12" s="1"/>
  <c r="FO16" i="12" l="1"/>
  <c r="FO28" i="12"/>
  <c r="FQ1" i="12"/>
  <c r="FP15" i="12"/>
  <c r="FP27" i="12"/>
  <c r="FP40" i="12"/>
  <c r="FP41" i="12" s="1"/>
  <c r="FP16" i="12" l="1"/>
  <c r="FP28" i="12"/>
  <c r="FR1" i="12"/>
  <c r="FQ15" i="12"/>
  <c r="FQ27" i="12"/>
  <c r="FQ40" i="12"/>
  <c r="FQ41" i="12" s="1"/>
  <c r="FQ16" i="12" l="1"/>
  <c r="FQ28" i="12"/>
  <c r="FS1" i="12"/>
  <c r="FR15" i="12"/>
  <c r="FR27" i="12"/>
  <c r="FR40" i="12"/>
  <c r="FR41" i="12" s="1"/>
  <c r="FR16" i="12" l="1"/>
  <c r="FR28" i="12"/>
  <c r="FT1" i="12"/>
  <c r="FS15" i="12"/>
  <c r="FS27" i="12"/>
  <c r="FS40" i="12"/>
  <c r="FS41" i="12" s="1"/>
  <c r="FS16" i="12" l="1"/>
  <c r="FS28" i="12"/>
  <c r="FU1" i="12"/>
  <c r="FT15" i="12"/>
  <c r="FT27" i="12"/>
  <c r="FT40" i="12"/>
  <c r="FT41" i="12" s="1"/>
  <c r="FT16" i="12" l="1"/>
  <c r="FT28" i="12"/>
  <c r="FV1" i="12"/>
  <c r="FU15" i="12"/>
  <c r="FU27" i="12"/>
  <c r="FU40" i="12"/>
  <c r="FU41" i="12" s="1"/>
  <c r="FU16" i="12" l="1"/>
  <c r="FU28" i="12"/>
  <c r="FW1" i="12"/>
  <c r="FV15" i="12"/>
  <c r="FV27" i="12"/>
  <c r="FV40" i="12"/>
  <c r="FV41" i="12" s="1"/>
  <c r="FV16" i="12" l="1"/>
  <c r="FV28" i="12"/>
  <c r="FX1" i="12"/>
  <c r="FW15" i="12"/>
  <c r="FW27" i="12"/>
  <c r="FW40" i="12"/>
  <c r="FW41" i="12" s="1"/>
  <c r="FW16" i="12" l="1"/>
  <c r="FW28" i="12"/>
  <c r="FY1" i="12"/>
  <c r="FX15" i="12"/>
  <c r="FX27" i="12"/>
  <c r="FX40" i="12"/>
  <c r="FX41" i="12" s="1"/>
  <c r="FX16" i="12" l="1"/>
  <c r="FX28" i="12"/>
  <c r="FZ1" i="12"/>
  <c r="FY15" i="12"/>
  <c r="FY27" i="12"/>
  <c r="FY40" i="12"/>
  <c r="FY41" i="12" s="1"/>
  <c r="FY16" i="12" l="1"/>
  <c r="FY28" i="12"/>
  <c r="GA1" i="12"/>
  <c r="FZ15" i="12"/>
  <c r="FZ27" i="12"/>
  <c r="FZ40" i="12"/>
  <c r="FZ41" i="12" s="1"/>
  <c r="FZ16" i="12" l="1"/>
  <c r="FZ28" i="12"/>
  <c r="GB1" i="12"/>
  <c r="GA15" i="12"/>
  <c r="GA27" i="12"/>
  <c r="GA40" i="12"/>
  <c r="GA41" i="12" s="1"/>
  <c r="GA16" i="12" l="1"/>
  <c r="GA28" i="12"/>
  <c r="GC1" i="12"/>
  <c r="GB15" i="12"/>
  <c r="GB27" i="12"/>
  <c r="GB40" i="12"/>
  <c r="GB41" i="12" s="1"/>
  <c r="GB16" i="12" l="1"/>
  <c r="GB28" i="12"/>
  <c r="GD1" i="12"/>
  <c r="GC15" i="12"/>
  <c r="GC27" i="12"/>
  <c r="GC40" i="12"/>
  <c r="GC41" i="12" s="1"/>
  <c r="GC16" i="12" l="1"/>
  <c r="GC28" i="12"/>
  <c r="GE1" i="12"/>
  <c r="GD15" i="12"/>
  <c r="GD27" i="12"/>
  <c r="GD40" i="12"/>
  <c r="GD41" i="12" s="1"/>
  <c r="GD16" i="12" l="1"/>
  <c r="GD28" i="12"/>
  <c r="GF1" i="12"/>
  <c r="GE15" i="12"/>
  <c r="GE27" i="12"/>
  <c r="GE40" i="12"/>
  <c r="GE41" i="12" s="1"/>
  <c r="GE16" i="12" l="1"/>
  <c r="GE28" i="12"/>
  <c r="GG1" i="12"/>
  <c r="GF15" i="12"/>
  <c r="GF27" i="12"/>
  <c r="GF40" i="12"/>
  <c r="GF41" i="12" s="1"/>
  <c r="GF16" i="12" l="1"/>
  <c r="GF28" i="12"/>
  <c r="GH1" i="12"/>
  <c r="GG15" i="12"/>
  <c r="GG27" i="12"/>
  <c r="GG40" i="12"/>
  <c r="GG41" i="12" s="1"/>
  <c r="GG16" i="12" l="1"/>
  <c r="GG28" i="12"/>
  <c r="GI1" i="12"/>
  <c r="GH15" i="12"/>
  <c r="GH27" i="12"/>
  <c r="GH40" i="12"/>
  <c r="GH41" i="12" s="1"/>
  <c r="GH16" i="12" l="1"/>
  <c r="GH28" i="12"/>
  <c r="GJ1" i="12"/>
  <c r="GI15" i="12"/>
  <c r="GI27" i="12"/>
  <c r="GI40" i="12"/>
  <c r="GI41" i="12" s="1"/>
  <c r="GI16" i="12" l="1"/>
  <c r="GI28" i="12"/>
  <c r="GK1" i="12"/>
  <c r="GJ15" i="12"/>
  <c r="GJ27" i="12"/>
  <c r="GJ40" i="12"/>
  <c r="GJ41" i="12" s="1"/>
  <c r="GJ16" i="12" l="1"/>
  <c r="GJ28" i="12"/>
  <c r="GL1" i="12"/>
  <c r="GK15" i="12"/>
  <c r="GK27" i="12"/>
  <c r="GK40" i="12"/>
  <c r="GK41" i="12" s="1"/>
  <c r="GK16" i="12" l="1"/>
  <c r="GK28" i="12"/>
  <c r="GM1" i="12"/>
  <c r="GL15" i="12"/>
  <c r="GL27" i="12"/>
  <c r="GL40" i="12"/>
  <c r="GL41" i="12" s="1"/>
  <c r="GL16" i="12" l="1"/>
  <c r="GL28" i="12"/>
  <c r="GN1" i="12"/>
  <c r="GM15" i="12"/>
  <c r="GM27" i="12"/>
  <c r="GM40" i="12"/>
  <c r="GM41" i="12" s="1"/>
  <c r="GM16" i="12" l="1"/>
  <c r="GM28" i="12"/>
  <c r="GO1" i="12"/>
  <c r="GN15" i="12"/>
  <c r="GN27" i="12"/>
  <c r="GN40" i="12"/>
  <c r="GN41" i="12" s="1"/>
  <c r="GN16" i="12" l="1"/>
  <c r="GN28" i="12"/>
  <c r="GP1" i="12"/>
  <c r="GO15" i="12"/>
  <c r="GO27" i="12"/>
  <c r="GO40" i="12"/>
  <c r="GO41" i="12" s="1"/>
  <c r="GO16" i="12" l="1"/>
  <c r="GO28" i="12"/>
  <c r="GQ1" i="12"/>
  <c r="GP15" i="12"/>
  <c r="GP27" i="12"/>
  <c r="GP40" i="12"/>
  <c r="GP41" i="12" s="1"/>
  <c r="GP16" i="12" l="1"/>
  <c r="GP28" i="12"/>
  <c r="GR1" i="12"/>
  <c r="GQ15" i="12"/>
  <c r="GQ27" i="12"/>
  <c r="GQ40" i="12"/>
  <c r="GQ41" i="12" s="1"/>
  <c r="GQ16" i="12" l="1"/>
  <c r="GQ28" i="12"/>
  <c r="GS1" i="12"/>
  <c r="GR15" i="12"/>
  <c r="GR27" i="12"/>
  <c r="GR40" i="12"/>
  <c r="GR41" i="12" s="1"/>
  <c r="GR16" i="12" l="1"/>
  <c r="GR28" i="12"/>
  <c r="GT1" i="12"/>
  <c r="GS15" i="12"/>
  <c r="GS27" i="12"/>
  <c r="GS40" i="12"/>
  <c r="GS41" i="12" s="1"/>
  <c r="GS16" i="12" l="1"/>
  <c r="GS28" i="12"/>
  <c r="GU1" i="12"/>
  <c r="GT15" i="12"/>
  <c r="GT27" i="12"/>
  <c r="GT40" i="12"/>
  <c r="GT41" i="12" s="1"/>
  <c r="GT16" i="12" l="1"/>
  <c r="GT28" i="12"/>
  <c r="GV1" i="12"/>
  <c r="GU15" i="12"/>
  <c r="GU27" i="12"/>
  <c r="GU40" i="12"/>
  <c r="GU41" i="12" s="1"/>
  <c r="GU16" i="12" l="1"/>
  <c r="GU28" i="12"/>
  <c r="GW1" i="12"/>
  <c r="GV15" i="12"/>
  <c r="GV27" i="12"/>
  <c r="GV40" i="12"/>
  <c r="GV41" i="12" s="1"/>
  <c r="GV16" i="12" l="1"/>
  <c r="GV28" i="12"/>
  <c r="GX1" i="12"/>
  <c r="GW15" i="12"/>
  <c r="GW27" i="12"/>
  <c r="GW40" i="12"/>
  <c r="GW41" i="12" s="1"/>
  <c r="GW16" i="12" l="1"/>
  <c r="GW28" i="12"/>
  <c r="GY1" i="12"/>
  <c r="GX15" i="12"/>
  <c r="GX27" i="12"/>
  <c r="GX40" i="12"/>
  <c r="GX41" i="12" s="1"/>
  <c r="GX16" i="12" l="1"/>
  <c r="GX28" i="12"/>
  <c r="GZ1" i="12"/>
  <c r="GY15" i="12"/>
  <c r="GY27" i="12"/>
  <c r="GY40" i="12"/>
  <c r="GY41" i="12" s="1"/>
  <c r="GY16" i="12" l="1"/>
  <c r="GY28" i="12"/>
  <c r="HA1" i="12"/>
  <c r="GZ15" i="12"/>
  <c r="GZ27" i="12"/>
  <c r="GZ40" i="12"/>
  <c r="GZ41" i="12" s="1"/>
  <c r="GZ16" i="12" l="1"/>
  <c r="GZ28" i="12"/>
  <c r="HB1" i="12"/>
  <c r="HA15" i="12"/>
  <c r="HA27" i="12"/>
  <c r="HA40" i="12"/>
  <c r="HA41" i="12" s="1"/>
  <c r="HA16" i="12" l="1"/>
  <c r="HA28" i="12"/>
  <c r="HC1" i="12"/>
  <c r="HB15" i="12"/>
  <c r="HB27" i="12"/>
  <c r="HB40" i="12"/>
  <c r="HB41" i="12" s="1"/>
  <c r="HB16" i="12" l="1"/>
  <c r="HB28" i="12"/>
  <c r="HD1" i="12"/>
  <c r="HC15" i="12"/>
  <c r="HC27" i="12"/>
  <c r="HC40" i="12"/>
  <c r="HC41" i="12" s="1"/>
  <c r="HC16" i="12" l="1"/>
  <c r="HC28" i="12"/>
  <c r="HE1" i="12"/>
  <c r="HD15" i="12"/>
  <c r="HD27" i="12"/>
  <c r="HD40" i="12"/>
  <c r="HD41" i="12" s="1"/>
  <c r="HD16" i="12" l="1"/>
  <c r="HD28" i="12"/>
  <c r="HF1" i="12"/>
  <c r="HE15" i="12"/>
  <c r="HE27" i="12"/>
  <c r="HE40" i="12"/>
  <c r="HE41" i="12" s="1"/>
  <c r="HE16" i="12" l="1"/>
  <c r="HE28" i="12"/>
  <c r="HG1" i="12"/>
  <c r="HF15" i="12"/>
  <c r="HF27" i="12"/>
  <c r="HF40" i="12"/>
  <c r="HF41" i="12" s="1"/>
  <c r="HF16" i="12" l="1"/>
  <c r="HF28" i="12"/>
  <c r="HH1" i="12"/>
  <c r="HG15" i="12"/>
  <c r="HG27" i="12"/>
  <c r="HG40" i="12"/>
  <c r="HG41" i="12" s="1"/>
  <c r="HG16" i="12" l="1"/>
  <c r="HG28" i="12"/>
  <c r="HI1" i="12"/>
  <c r="HH15" i="12"/>
  <c r="HH27" i="12"/>
  <c r="HH40" i="12"/>
  <c r="HH41" i="12" s="1"/>
  <c r="HH16" i="12" l="1"/>
  <c r="HH28" i="12"/>
  <c r="HJ1" i="12"/>
  <c r="HI15" i="12"/>
  <c r="HI27" i="12"/>
  <c r="HI40" i="12"/>
  <c r="HI41" i="12" s="1"/>
  <c r="HI16" i="12" l="1"/>
  <c r="HI28" i="12"/>
  <c r="HK1" i="12"/>
  <c r="HJ15" i="12"/>
  <c r="HJ27" i="12"/>
  <c r="HJ40" i="12"/>
  <c r="HJ41" i="12" s="1"/>
  <c r="HJ16" i="12" l="1"/>
  <c r="HJ28" i="12"/>
  <c r="HL1" i="12"/>
  <c r="HK15" i="12"/>
  <c r="HK27" i="12"/>
  <c r="HK40" i="12"/>
  <c r="HK41" i="12" s="1"/>
  <c r="HK16" i="12" l="1"/>
  <c r="HK28" i="12"/>
  <c r="HM1" i="12"/>
  <c r="HL15" i="12"/>
  <c r="HL27" i="12"/>
  <c r="HL40" i="12"/>
  <c r="HL41" i="12" s="1"/>
  <c r="HL16" i="12" l="1"/>
  <c r="HL28" i="12"/>
  <c r="HN1" i="12"/>
  <c r="HM15" i="12"/>
  <c r="HM27" i="12"/>
  <c r="HM40" i="12"/>
  <c r="HM41" i="12" s="1"/>
  <c r="HM16" i="12" l="1"/>
  <c r="HM28" i="12"/>
  <c r="HO1" i="12"/>
  <c r="HN15" i="12"/>
  <c r="HN27" i="12"/>
  <c r="HN40" i="12"/>
  <c r="HN41" i="12" s="1"/>
  <c r="HN16" i="12" l="1"/>
  <c r="HN28" i="12"/>
  <c r="HP1" i="12"/>
  <c r="HO15" i="12"/>
  <c r="HO27" i="12"/>
  <c r="HO40" i="12"/>
  <c r="HO41" i="12" s="1"/>
  <c r="HO16" i="12" l="1"/>
  <c r="HO28" i="12"/>
  <c r="HQ1" i="12"/>
  <c r="HP15" i="12"/>
  <c r="HP27" i="12"/>
  <c r="HP40" i="12"/>
  <c r="HP41" i="12" s="1"/>
  <c r="HP16" i="12" l="1"/>
  <c r="HP28" i="12"/>
  <c r="HR1" i="12"/>
  <c r="HQ15" i="12"/>
  <c r="HQ27" i="12"/>
  <c r="HQ40" i="12"/>
  <c r="HQ41" i="12" s="1"/>
  <c r="HQ16" i="12" l="1"/>
  <c r="HQ28" i="12"/>
  <c r="HS1" i="12"/>
  <c r="HR15" i="12"/>
  <c r="HR27" i="12"/>
  <c r="HR40" i="12"/>
  <c r="HR41" i="12" s="1"/>
  <c r="HR16" i="12" l="1"/>
  <c r="HR28" i="12"/>
  <c r="HT1" i="12"/>
  <c r="HS15" i="12"/>
  <c r="HS27" i="12"/>
  <c r="HS40" i="12"/>
  <c r="HS41" i="12" s="1"/>
  <c r="HS16" i="12" l="1"/>
  <c r="HS28" i="12"/>
  <c r="HU1" i="12"/>
  <c r="HT15" i="12"/>
  <c r="HT27" i="12"/>
  <c r="HT40" i="12"/>
  <c r="HT41" i="12" s="1"/>
  <c r="HT16" i="12" l="1"/>
  <c r="HT28" i="12"/>
  <c r="HV1" i="12"/>
  <c r="HU15" i="12"/>
  <c r="HU27" i="12"/>
  <c r="HU40" i="12"/>
  <c r="HU41" i="12" s="1"/>
  <c r="HU16" i="12" l="1"/>
  <c r="HU28" i="12"/>
  <c r="HW1" i="12"/>
  <c r="HV15" i="12"/>
  <c r="HV27" i="12"/>
  <c r="HV40" i="12"/>
  <c r="HV41" i="12" s="1"/>
  <c r="HV16" i="12" l="1"/>
  <c r="HV28" i="12"/>
  <c r="HX1" i="12"/>
  <c r="HW15" i="12"/>
  <c r="HW27" i="12"/>
  <c r="HW40" i="12"/>
  <c r="HW41" i="12" s="1"/>
  <c r="HW16" i="12" l="1"/>
  <c r="HW28" i="12"/>
  <c r="HY1" i="12"/>
  <c r="HX15" i="12"/>
  <c r="HX27" i="12"/>
  <c r="HX40" i="12"/>
  <c r="HX41" i="12" s="1"/>
  <c r="HX16" i="12" l="1"/>
  <c r="HX28" i="12"/>
  <c r="HZ1" i="12"/>
  <c r="HY15" i="12"/>
  <c r="HY27" i="12"/>
  <c r="HY40" i="12"/>
  <c r="HY41" i="12" s="1"/>
  <c r="HY16" i="12" l="1"/>
  <c r="HY28" i="12"/>
  <c r="IA1" i="12"/>
  <c r="HZ15" i="12"/>
  <c r="HZ27" i="12"/>
  <c r="HZ40" i="12"/>
  <c r="HZ41" i="12" s="1"/>
  <c r="HZ16" i="12" l="1"/>
  <c r="HZ28" i="12"/>
  <c r="IB1" i="12"/>
  <c r="IA15" i="12"/>
  <c r="IA27" i="12"/>
  <c r="IA40" i="12"/>
  <c r="IA41" i="12" s="1"/>
  <c r="IA16" i="12" l="1"/>
  <c r="IA28" i="12"/>
  <c r="IC1" i="12"/>
  <c r="IB15" i="12"/>
  <c r="IB27" i="12"/>
  <c r="IB40" i="12"/>
  <c r="IB41" i="12" s="1"/>
  <c r="IB16" i="12" l="1"/>
  <c r="IB28" i="12"/>
  <c r="ID1" i="12"/>
  <c r="IC15" i="12"/>
  <c r="IC27" i="12"/>
  <c r="IC40" i="12"/>
  <c r="IC41" i="12" s="1"/>
  <c r="IC16" i="12" l="1"/>
  <c r="IC28" i="12"/>
  <c r="IE1" i="12"/>
  <c r="ID15" i="12"/>
  <c r="ID27" i="12"/>
  <c r="ID40" i="12"/>
  <c r="ID41" i="12" s="1"/>
  <c r="ID16" i="12" l="1"/>
  <c r="ID28" i="12"/>
  <c r="IF1" i="12"/>
  <c r="IE15" i="12"/>
  <c r="IE27" i="12"/>
  <c r="IE40" i="12"/>
  <c r="IE41" i="12" s="1"/>
  <c r="IE16" i="12" l="1"/>
  <c r="IE28" i="12"/>
  <c r="IG1" i="12"/>
  <c r="IF15" i="12"/>
  <c r="IF27" i="12"/>
  <c r="IF40" i="12"/>
  <c r="IF41" i="12" s="1"/>
  <c r="IF16" i="12" l="1"/>
  <c r="IF28" i="12"/>
  <c r="IG15" i="12"/>
  <c r="IG27" i="12"/>
  <c r="IG40" i="12"/>
  <c r="IG41" i="12" s="1"/>
  <c r="IG28" i="12" l="1"/>
  <c r="B32" i="12" s="1"/>
  <c r="C32" i="12" s="1"/>
  <c r="IG16" i="12"/>
  <c r="B20" i="12" s="1"/>
  <c r="C45" i="12"/>
  <c r="B45" i="12"/>
  <c r="C20" i="12" l="1"/>
</calcChain>
</file>

<file path=xl/comments1.xml><?xml version="1.0" encoding="utf-8"?>
<comments xmlns="http://schemas.openxmlformats.org/spreadsheetml/2006/main">
  <authors>
    <author>Автор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>В рамках Державної програми компенсації тіла кредиту відповідно до Постанови КМУ від 08.04.2015 №231</t>
        </r>
      </text>
    </comment>
    <comment ref="A42" authorId="0">
      <text>
        <r>
          <rPr>
            <sz val="9"/>
            <color indexed="81"/>
            <rFont val="Tahoma"/>
            <family val="2"/>
            <charset val="204"/>
          </rPr>
          <t xml:space="preserve">40 відсотків суми кредиту на вартість </t>
        </r>
        <r>
          <rPr>
            <b/>
            <sz val="9"/>
            <color indexed="81"/>
            <rFont val="Tahoma"/>
            <family val="2"/>
            <charset val="204"/>
          </rPr>
          <t>обладнання та матеріалів</t>
        </r>
        <r>
          <rPr>
            <sz val="9"/>
            <color indexed="81"/>
            <rFont val="Tahoma"/>
            <family val="2"/>
            <charset val="204"/>
          </rPr>
          <t>, але не більш як 10000 гривень в розрахунку на одну квартиру багатоквартирного будинку за одним кредитним договором</t>
        </r>
      </text>
    </comment>
  </commentList>
</comments>
</file>

<file path=xl/comments2.xml><?xml version="1.0" encoding="utf-8"?>
<comments xmlns="http://schemas.openxmlformats.org/spreadsheetml/2006/main">
  <authors>
    <author>-</author>
  </authors>
  <commentList>
    <comment ref="A30" authorId="0">
      <text>
        <r>
          <rPr>
            <b/>
            <sz val="9"/>
            <color indexed="81"/>
            <rFont val="Tahoma"/>
            <charset val="1"/>
          </rPr>
          <t>Для перевірки - http://www.oschadbank.ua/ua/private/loans/loanCalculator/</t>
        </r>
      </text>
    </comment>
  </commentList>
</comments>
</file>

<file path=xl/comments3.xml><?xml version="1.0" encoding="utf-8"?>
<comments xmlns="http://schemas.openxmlformats.org/spreadsheetml/2006/main">
  <authors>
    <author>-</author>
  </authors>
  <commentList>
    <comment ref="B6" authorId="0">
      <text>
        <r>
          <rPr>
            <b/>
            <sz val="9"/>
            <color indexed="81"/>
            <rFont val="Tahoma"/>
            <family val="2"/>
            <charset val="204"/>
          </rPr>
          <t>3 місяці - відтермінування виплати кредиту.</t>
        </r>
      </text>
    </comment>
  </commentList>
</comments>
</file>

<file path=xl/comments4.xml><?xml version="1.0" encoding="utf-8"?>
<comments xmlns="http://schemas.openxmlformats.org/spreadsheetml/2006/main">
  <authors>
    <author>-</author>
  </authors>
  <commentList>
    <comment ref="E2" authorId="0">
      <text>
        <r>
          <rPr>
            <b/>
            <sz val="9"/>
            <color indexed="81"/>
            <rFont val="Tahoma"/>
            <family val="2"/>
            <charset val="204"/>
          </rPr>
          <t>Приведено до 6 місяців опалювального періоду для порівння - фактичні платежі будуть вдвічі меншими, але сплачуватимуться протягом всього року.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-</author>
  </authors>
  <commentList>
    <comment ref="C8" authorId="0">
      <text>
        <r>
          <rPr>
            <b/>
            <sz val="9"/>
            <color indexed="81"/>
            <rFont val="Tahoma"/>
            <family val="2"/>
            <charset val="204"/>
          </rPr>
          <t>тариф без врахування умовно-постійної частини тарифу - 515,63</t>
        </r>
      </text>
    </comment>
    <comment ref="C68" authorId="0">
      <text>
        <r>
          <rPr>
            <b/>
            <sz val="9"/>
            <color indexed="81"/>
            <rFont val="Tahoma"/>
            <family val="2"/>
            <charset val="204"/>
          </rPr>
          <t>тариф без врахування умовно-постійної частини тарифу - 511,79</t>
        </r>
      </text>
    </comment>
    <comment ref="C72" authorId="0">
      <text>
        <r>
          <rPr>
            <b/>
            <sz val="9"/>
            <color indexed="81"/>
            <rFont val="Tahoma"/>
            <family val="2"/>
            <charset val="204"/>
          </rPr>
          <t>тариф без врахування умовно-постійної частини тарифу - 509,36</t>
        </r>
      </text>
    </comment>
    <comment ref="C75" authorId="0">
      <text>
        <r>
          <rPr>
            <b/>
            <sz val="9"/>
            <color indexed="81"/>
            <rFont val="Tahoma"/>
            <family val="2"/>
            <charset val="204"/>
          </rPr>
          <t>тариф без врахування умовно-постійної частини тарифу - 499,35</t>
        </r>
      </text>
    </comment>
    <comment ref="C77" authorId="0">
      <text>
        <r>
          <rPr>
            <b/>
            <sz val="9"/>
            <color indexed="81"/>
            <rFont val="Tahoma"/>
            <family val="2"/>
            <charset val="204"/>
          </rPr>
          <t>тариф без врахування умовно-постійної частини тарифу - 556,46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26" authorId="0">
      <text>
        <r>
          <rPr>
            <b/>
            <sz val="9"/>
            <color indexed="81"/>
            <rFont val="Tahoma"/>
            <family val="2"/>
            <charset val="204"/>
          </rPr>
          <t>тариф без врахування умовно-постійної частини тарифу - 572,00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27" authorId="0">
      <text>
        <r>
          <rPr>
            <b/>
            <sz val="9"/>
            <color indexed="81"/>
            <rFont val="Tahoma"/>
            <family val="2"/>
            <charset val="204"/>
          </rPr>
          <t>тариф без врахування умовно-постійної частини тарифу - 532,92</t>
        </r>
      </text>
    </comment>
    <comment ref="C141" authorId="0">
      <text>
        <r>
          <rPr>
            <b/>
            <sz val="9"/>
            <color indexed="81"/>
            <rFont val="Tahoma"/>
            <family val="2"/>
            <charset val="204"/>
          </rPr>
          <t>тариф без врахування умовно-постійної частини тарифу - 609,78</t>
        </r>
      </text>
    </comment>
  </commentList>
</comments>
</file>

<file path=xl/sharedStrings.xml><?xml version="1.0" encoding="utf-8"?>
<sst xmlns="http://schemas.openxmlformats.org/spreadsheetml/2006/main" count="879" uniqueCount="613">
  <si>
    <t>$/м2</t>
  </si>
  <si>
    <t>Усереднена ціна 1 м2 Вашої квартири після модернізації</t>
  </si>
  <si>
    <t>Усереднена ціна 1 м2 Вашої квартири до модернізації</t>
  </si>
  <si>
    <t>грн./місяць</t>
  </si>
  <si>
    <t>Квитанція на оплату ЖКХ після модернізації</t>
  </si>
  <si>
    <t>Квитанція на оплату ЖКХ до модернізації</t>
  </si>
  <si>
    <t>грн.</t>
  </si>
  <si>
    <t>Вартість на одну квартиру</t>
  </si>
  <si>
    <t>грн./рік</t>
  </si>
  <si>
    <t>Зменшення грошових виплат за ПЕР/рік</t>
  </si>
  <si>
    <t>Необхідні кредитні кошти</t>
  </si>
  <si>
    <t>2. Підвищення комфорту вдомі та естетичного вигляду</t>
  </si>
  <si>
    <t xml:space="preserve">  --&gt;</t>
  </si>
  <si>
    <t>3кім</t>
  </si>
  <si>
    <t>2кім</t>
  </si>
  <si>
    <t>1кім</t>
  </si>
  <si>
    <t>Після модернізації</t>
  </si>
  <si>
    <t>До модернізації</t>
  </si>
  <si>
    <t>Типова квартира</t>
  </si>
  <si>
    <t>1. Збільшення вартості квартири</t>
  </si>
  <si>
    <t>Додаткові вигоди від термомодернізації</t>
  </si>
  <si>
    <t>грн/м2</t>
  </si>
  <si>
    <t>після модернізації з урахуванням виплати кредиту</t>
  </si>
  <si>
    <t>після модернізації</t>
  </si>
  <si>
    <t>до модернізації</t>
  </si>
  <si>
    <t>Квитанція на оплату за теплову енергію, м2</t>
  </si>
  <si>
    <t>Витрати сімейного бюджету</t>
  </si>
  <si>
    <t>грн./міс</t>
  </si>
  <si>
    <t xml:space="preserve">Економія на дім </t>
  </si>
  <si>
    <t>Економія на 1 квартиру</t>
  </si>
  <si>
    <t>Економія на 1 м2</t>
  </si>
  <si>
    <t>Середньомісячна економія оплати за тепло після модернізації</t>
  </si>
  <si>
    <t>На 1 квартиру</t>
  </si>
  <si>
    <t>1 м2 житла</t>
  </si>
  <si>
    <t>Платіж  по кредиту з розрахунку на</t>
  </si>
  <si>
    <t>Платіж  по кредиту, в т.ч.:</t>
  </si>
  <si>
    <t>Вибір банку для кредитування</t>
  </si>
  <si>
    <t>міс.</t>
  </si>
  <si>
    <t>Строк кредиту</t>
  </si>
  <si>
    <t>в. т.ч. роботи</t>
  </si>
  <si>
    <t>в т.ч. матеріали</t>
  </si>
  <si>
    <t>Сума кредиту</t>
  </si>
  <si>
    <t>Одноразова державна компенсація, 40%</t>
  </si>
  <si>
    <t>Участь власними коштами</t>
  </si>
  <si>
    <t>Вартість проектної документації</t>
  </si>
  <si>
    <t>Вартість робіт</t>
  </si>
  <si>
    <t>Вартість матеріалів</t>
  </si>
  <si>
    <t>Загальна вартість проекту</t>
  </si>
  <si>
    <t>Результати розрахунків</t>
  </si>
  <si>
    <t>Модернізація системи освітлення</t>
  </si>
  <si>
    <t>Теплоізоляції горищ</t>
  </si>
  <si>
    <t>Теплоізоляції підвальних приміщень</t>
  </si>
  <si>
    <t>Теплоізоляції зовнішніх стін</t>
  </si>
  <si>
    <t>Заміна вікон (під’їздів, підвалів, технічних приміщень, горищ)</t>
  </si>
  <si>
    <t>Встановлення вузлів обліку води (гарячої, холодної)</t>
  </si>
  <si>
    <t xml:space="preserve">Регулятори теплового потоку за погодними умовами </t>
  </si>
  <si>
    <t>Облаштування ІТП</t>
  </si>
  <si>
    <t>Проведення енергоаудиту</t>
  </si>
  <si>
    <t>Вартість робіт, грн.</t>
  </si>
  <si>
    <t>Обладнання, матеріали грн.</t>
  </si>
  <si>
    <t>Вибір</t>
  </si>
  <si>
    <t>Енергоефективний захід</t>
  </si>
  <si>
    <t>Вибір енергоефективних заходів для термомодернізації будинку</t>
  </si>
  <si>
    <t>Введіть тариф на централізоване опалення</t>
  </si>
  <si>
    <t>шт.</t>
  </si>
  <si>
    <t>Введіть кількість квартир Вашого будинку</t>
  </si>
  <si>
    <t>м</t>
  </si>
  <si>
    <t>Введіть периметр Вашого будинку</t>
  </si>
  <si>
    <t>пов.</t>
  </si>
  <si>
    <t>Введіть кількість поверхів Вашого будинку</t>
  </si>
  <si>
    <t>м2</t>
  </si>
  <si>
    <t>Введіть опалювальну площу Вашого дому</t>
  </si>
  <si>
    <t>Матеріал стін</t>
  </si>
  <si>
    <t>Висота стелі</t>
  </si>
  <si>
    <t>Кількість поверхів</t>
  </si>
  <si>
    <t>Період забудови</t>
  </si>
  <si>
    <t>Виберіть тип Вашого будинку</t>
  </si>
  <si>
    <t>Виберіть Вашу область</t>
  </si>
  <si>
    <t>Введення даних із характеристиками будинку</t>
  </si>
  <si>
    <t>*Жовтим кольором виділені поля для введення даних</t>
  </si>
  <si>
    <t>Калькулятор для розрахунку вартості та економії від модернізації багатоквартирного будинку із залученням кредиту для ОСББ</t>
  </si>
  <si>
    <t>Інвестиції (450)</t>
  </si>
  <si>
    <t>Площа</t>
  </si>
  <si>
    <t>Горище</t>
  </si>
  <si>
    <t>Підвал</t>
  </si>
  <si>
    <t>Інвестиції (600)</t>
  </si>
  <si>
    <t>Площа усіх стін</t>
  </si>
  <si>
    <t>Тіло кредиту</t>
  </si>
  <si>
    <t>Периметр будівлі</t>
  </si>
  <si>
    <t>грн</t>
  </si>
  <si>
    <t>Стіни</t>
  </si>
  <si>
    <t>Сума по кредиту</t>
  </si>
  <si>
    <t>Інвестиції (2000)</t>
  </si>
  <si>
    <t>Електрика</t>
  </si>
  <si>
    <t>Збереження</t>
  </si>
  <si>
    <t>1 місяць</t>
  </si>
  <si>
    <t>Сума</t>
  </si>
  <si>
    <t>Вода</t>
  </si>
  <si>
    <t>Вікна</t>
  </si>
  <si>
    <t>Опалення</t>
  </si>
  <si>
    <t>Витрати на одну квартирудо після модернізації</t>
  </si>
  <si>
    <t>Термін окупності</t>
  </si>
  <si>
    <t>Інвестиції (1120грн/шт)</t>
  </si>
  <si>
    <t>Економія</t>
  </si>
  <si>
    <t>Сплата за рік</t>
  </si>
  <si>
    <t>Тариф (40грн/1м3)</t>
  </si>
  <si>
    <t>Споживання гарячої води, л/добу</t>
  </si>
  <si>
    <t>Витрати на одну квартирудо модернізації</t>
  </si>
  <si>
    <t>Гаряча вода</t>
  </si>
  <si>
    <t>Проектні роботи</t>
  </si>
  <si>
    <t>Різниця</t>
  </si>
  <si>
    <t>Сплата за електроенергію</t>
  </si>
  <si>
    <t>Новий тариф</t>
  </si>
  <si>
    <t>Нова споживана потужність</t>
  </si>
  <si>
    <t>Заміна лампочок вартість</t>
  </si>
  <si>
    <t>Кількість лампочок</t>
  </si>
  <si>
    <t>Тариф на електроенергію</t>
  </si>
  <si>
    <t>Споживана потужність</t>
  </si>
  <si>
    <t>Час роботи (4год - день)</t>
  </si>
  <si>
    <t>Електро</t>
  </si>
  <si>
    <t>Потужність встановлена, кВт</t>
  </si>
  <si>
    <t>Тепло</t>
  </si>
  <si>
    <t>Площа, м2</t>
  </si>
  <si>
    <t>Гроші</t>
  </si>
  <si>
    <t>Інвестиції, роботи</t>
  </si>
  <si>
    <t>Інвестиції, матеріали</t>
  </si>
  <si>
    <t>Інвестиції заходи</t>
  </si>
  <si>
    <t>Освітлення</t>
  </si>
  <si>
    <t>Sum</t>
  </si>
  <si>
    <t>-</t>
  </si>
  <si>
    <t>Для квартир, збільшення ціни</t>
  </si>
  <si>
    <t>Вода, холодна</t>
  </si>
  <si>
    <t>Вода, гаряча</t>
  </si>
  <si>
    <t>Електроенергія</t>
  </si>
  <si>
    <t>Сума тепло</t>
  </si>
  <si>
    <t>ТАК/НІ</t>
  </si>
  <si>
    <t>Збереження,%</t>
  </si>
  <si>
    <t>Заходи з енергозбереження</t>
  </si>
  <si>
    <t>Ощадбанк</t>
  </si>
  <si>
    <t>2,65 і більше</t>
  </si>
  <si>
    <t>Цегла</t>
  </si>
  <si>
    <t>2…28</t>
  </si>
  <si>
    <t>після 1992</t>
  </si>
  <si>
    <t>Українська цегляна кладка</t>
  </si>
  <si>
    <t>2,65м-2,75м</t>
  </si>
  <si>
    <t>Залізобетонна панель</t>
  </si>
  <si>
    <t>9…26</t>
  </si>
  <si>
    <t>після 1991</t>
  </si>
  <si>
    <t>Українська панелька</t>
  </si>
  <si>
    <t>4…20</t>
  </si>
  <si>
    <t>до 1991</t>
  </si>
  <si>
    <t>Покращена цегляна кладка</t>
  </si>
  <si>
    <t>2,50м-2,55м</t>
  </si>
  <si>
    <t>2…14</t>
  </si>
  <si>
    <t>середина 50-х кінець 80-х</t>
  </si>
  <si>
    <t>Стара цегляна кладка</t>
  </si>
  <si>
    <t>9…22</t>
  </si>
  <si>
    <t>70-ті - 80-ті</t>
  </si>
  <si>
    <t>Покращена панелька</t>
  </si>
  <si>
    <t>9…16</t>
  </si>
  <si>
    <t>Звичайна панелька</t>
  </si>
  <si>
    <t>3…12</t>
  </si>
  <si>
    <t>середина 50-ч - кінець 80-х</t>
  </si>
  <si>
    <t>Стара панелька</t>
  </si>
  <si>
    <t>3м-4м</t>
  </si>
  <si>
    <t>2…13</t>
  </si>
  <si>
    <t>20-ті - середина 50-х</t>
  </si>
  <si>
    <t>Сталінка</t>
  </si>
  <si>
    <t>3,2м-4,5м</t>
  </si>
  <si>
    <t>1…8</t>
  </si>
  <si>
    <t>до 1917</t>
  </si>
  <si>
    <t>Дореволюційний</t>
  </si>
  <si>
    <t>Середня висота</t>
  </si>
  <si>
    <t>Висота стелі,м</t>
  </si>
  <si>
    <t>Тип будинку</t>
  </si>
  <si>
    <t>Банк, 3%, 25% річних</t>
  </si>
  <si>
    <t>Кредит</t>
  </si>
  <si>
    <t>Кредитні кошти</t>
  </si>
  <si>
    <t>Власні кошти</t>
  </si>
  <si>
    <t>Ставка кредиту, 25% - три місяці</t>
  </si>
  <si>
    <t>Банк, 3%</t>
  </si>
  <si>
    <t>Вартість котла</t>
  </si>
  <si>
    <t>Тип фінансування</t>
  </si>
  <si>
    <t>Після модерн</t>
  </si>
  <si>
    <t>Витрати на квартиру</t>
  </si>
  <si>
    <t>економія на 1 квар</t>
  </si>
  <si>
    <t>економія на 1 м2</t>
  </si>
  <si>
    <t>Економія в місяць</t>
  </si>
  <si>
    <t>Приблизна висота</t>
  </si>
  <si>
    <t>Норма витрати теплоти для будівель, Гкал/м2</t>
  </si>
  <si>
    <t>Економія грошей</t>
  </si>
  <si>
    <t>Після заміни</t>
  </si>
  <si>
    <t>Затрати на опалення</t>
  </si>
  <si>
    <t>Централ</t>
  </si>
  <si>
    <t>Сума, грн/сезон</t>
  </si>
  <si>
    <t>Гроші, грн/сезон</t>
  </si>
  <si>
    <t>Тариф</t>
  </si>
  <si>
    <t>Гкал/сезон</t>
  </si>
  <si>
    <t>Опалення за сезон, кВтгод/сезон</t>
  </si>
  <si>
    <t>Середня потужність котла, кВт</t>
  </si>
  <si>
    <t>Затрати на опалення, грн</t>
  </si>
  <si>
    <t>http://agent.ua/statistics/</t>
  </si>
  <si>
    <t>Чернігівська область</t>
  </si>
  <si>
    <t>Чернівецька область</t>
  </si>
  <si>
    <t>Черкаська область</t>
  </si>
  <si>
    <t>Хмельницька область</t>
  </si>
  <si>
    <t>Херсонська область</t>
  </si>
  <si>
    <t>Харківська область</t>
  </si>
  <si>
    <t>Тернопільська область</t>
  </si>
  <si>
    <t>Сумська область</t>
  </si>
  <si>
    <t>Рівненська область</t>
  </si>
  <si>
    <t>Полтавська область</t>
  </si>
  <si>
    <t>Одеська область</t>
  </si>
  <si>
    <t>Миколаївська область</t>
  </si>
  <si>
    <t>Львівська область</t>
  </si>
  <si>
    <t>Луганська область</t>
  </si>
  <si>
    <t>Кіровоградська область</t>
  </si>
  <si>
    <t>Київська область</t>
  </si>
  <si>
    <t>м. Київ</t>
  </si>
  <si>
    <t>Івано Франківська область</t>
  </si>
  <si>
    <t>Запорізька область</t>
  </si>
  <si>
    <t>Закарпатська область</t>
  </si>
  <si>
    <t>Житомирська область</t>
  </si>
  <si>
    <t>Донецька область</t>
  </si>
  <si>
    <t>Дніпропетровська область</t>
  </si>
  <si>
    <t>Волинська область</t>
  </si>
  <si>
    <t>Вінницька область</t>
  </si>
  <si>
    <t>Республіка Крим</t>
  </si>
  <si>
    <t>Ціна за м2 житла</t>
  </si>
  <si>
    <t>опалювальний період, діб,</t>
  </si>
  <si>
    <t>tco</t>
  </si>
  <si>
    <t>tpo</t>
  </si>
  <si>
    <t xml:space="preserve">Найменування областей </t>
  </si>
  <si>
    <t>грн/кВтгод</t>
  </si>
  <si>
    <t>за обсяг, спожитий понад 3600 кВт∙год електроенергії на місяць</t>
  </si>
  <si>
    <t>за обсяг, спожитий до 3600 кВт∙год електроенергії на місяць (включно)</t>
  </si>
  <si>
    <t>У період з 01 жовтня 2015 року по 29 лютого 2016 року (включно):</t>
  </si>
  <si>
    <t>Населенню, яке проживає в багатоквартирних будинках, не газифікованих природним газом і в яких відсутні або не функціонують системи централізованого теплопостачання (у тому числі в сільській місцевості):</t>
  </si>
  <si>
    <t>"1.4"</t>
  </si>
  <si>
    <t>Населенню, яке проживає в житлових будинках (у тому числі в житлових будинках готельного типу, квартирах та гуртожитках), обладнаних у встановленому порядку електроопалювальними установками (у тому числі в сільській місцевості):</t>
  </si>
  <si>
    <t>"1.3"</t>
  </si>
  <si>
    <t>На електроенергію, що відпускається населенню, на період з 01 вересня 2015 року по 29 лютого 2016 року включно</t>
  </si>
  <si>
    <t>грн/м3</t>
  </si>
  <si>
    <t>за обсяг, спожитий понад 200 м3 за місяць</t>
  </si>
  <si>
    <t>за обсяг, спожитий до 200 м3 за місяць</t>
  </si>
  <si>
    <t>у період з 01 жовтня по 30 квітня (включно):</t>
  </si>
  <si>
    <t>Тарифи на газ</t>
  </si>
  <si>
    <t>Дисконт</t>
  </si>
  <si>
    <t>Внутренняя норма доходности (IRR), %</t>
  </si>
  <si>
    <t>Дисконтований термін окупності (DPP), роки</t>
  </si>
  <si>
    <t>Простий термін окупності, роки</t>
  </si>
  <si>
    <t>PI, роки</t>
  </si>
  <si>
    <t>df45jiH64BY832</t>
  </si>
  <si>
    <t>NPV / NPVQ (за 20 років), тис.грн.</t>
  </si>
  <si>
    <t>NPV / NPVQ (за 15 років), тис.грн.</t>
  </si>
  <si>
    <t>NPV / NPVQ (за 10 років), тис.грн.</t>
  </si>
  <si>
    <t>NPV / NPVQ (за 5 років), тис.грн.</t>
  </si>
  <si>
    <t>Інвестиційний капітал (IC), тис.грн.</t>
  </si>
  <si>
    <t>Вартість капіталу (WACC), %</t>
  </si>
  <si>
    <t>Значення</t>
  </si>
  <si>
    <t>Показник</t>
  </si>
  <si>
    <t>Показники фінансової ефективності</t>
  </si>
  <si>
    <t>Discount IC, тыс. $</t>
  </si>
  <si>
    <t>DCF without IC, тыс. $</t>
  </si>
  <si>
    <t>Для розрахунку індекса прибутковості</t>
  </si>
  <si>
    <t>Для розрахунку періоду окупності</t>
  </si>
  <si>
    <t>Накопичуваний дисконтований грошовий потік, тис.грн.</t>
  </si>
  <si>
    <t>Чистий дисконтований грошовий потік, тис.грн.</t>
  </si>
  <si>
    <t>Чистий грошовий потік, тис.грн.</t>
  </si>
  <si>
    <t>Амортизація, тис.грн.</t>
  </si>
  <si>
    <t>Чистий прибуток (Net Income), тис.грн.</t>
  </si>
  <si>
    <t>Податок на прибуток, тис.грн.</t>
  </si>
  <si>
    <t>Чистий прибуток до податків (EBT), тис.грн.</t>
  </si>
  <si>
    <t>Чистий прибуток до амортизації, процентів та податку на прибуток (EBITDA), тис.грн.</t>
  </si>
  <si>
    <t>Додаткові витрати повязані з експлуатацією/плановою заміною, тис.грн.</t>
  </si>
  <si>
    <t xml:space="preserve"> - економія за рахунок альтернативних джерел, тис.грн.</t>
  </si>
  <si>
    <t xml:space="preserve"> - економія Е/Е, тис.грн.</t>
  </si>
  <si>
    <t xml:space="preserve"> - еклномія ТЕ, тис.грн.</t>
  </si>
  <si>
    <t>Всього економія ПЕР, тис.грн.</t>
  </si>
  <si>
    <t>Інвестиції, тис.грн.</t>
  </si>
  <si>
    <t>Рік (Проектний)</t>
  </si>
  <si>
    <t>Рік (Календарний)</t>
  </si>
  <si>
    <t>Коефіцієнт диконтування</t>
  </si>
  <si>
    <t>Коеф. зрост. тарифу на Е/Е</t>
  </si>
  <si>
    <t>Процент зрост. тарифу на Е/Е</t>
  </si>
  <si>
    <t>Коеф. зростя тарифу на ТЕ</t>
  </si>
  <si>
    <t>Процент зростя тарифу на ТЕ</t>
  </si>
  <si>
    <t>Податок на прибуток</t>
  </si>
  <si>
    <t>Діючий тариф на Е/Е, грн/кВт·год</t>
  </si>
  <si>
    <t>Коефіцієнт дисконтування</t>
  </si>
  <si>
    <t>Діючий тариф на ТЕ,грн/Гкал</t>
  </si>
  <si>
    <t>Період амортизації (термін служби), роки</t>
  </si>
  <si>
    <t>Без державної підтримки</t>
  </si>
  <si>
    <t>грн за Гкал</t>
  </si>
  <si>
    <t>Ваш тариф</t>
  </si>
  <si>
    <t>ПАТ "Київенерго"</t>
  </si>
  <si>
    <t>Оберіть компанію, яка надає послуги з централізованого опалення</t>
  </si>
  <si>
    <t>Київ</t>
  </si>
  <si>
    <t>Оберіть регіон</t>
  </si>
  <si>
    <t>Обсяг щомісячних виплат по кредиту, грн</t>
  </si>
  <si>
    <t>Обсяг кредиту до погашення (за винятком компенсації з державного бюджету), грн</t>
  </si>
  <si>
    <t>Разова комісія, %</t>
  </si>
  <si>
    <t>Термін кредитування, років</t>
  </si>
  <si>
    <t>Вартість обладнання та матеріалів, грн</t>
  </si>
  <si>
    <t>Опалювальна площа, м2</t>
  </si>
  <si>
    <t>Дисконтований період окупності, років / місяців</t>
  </si>
  <si>
    <t>Простий період окупності, років / місяців</t>
  </si>
  <si>
    <t>IRR (20 років)</t>
  </si>
  <si>
    <t>ЧПВ (20 років)</t>
  </si>
  <si>
    <t>Дисконтована агрегована різниця в платежах при проведенні термомодернізації, грн</t>
  </si>
  <si>
    <t>Дисконтована загальна різниця в платежах при проведенні термомодернізації, грн</t>
  </si>
  <si>
    <t>Агрегована різниця в платежах при проведенні термомодернізації, грн</t>
  </si>
  <si>
    <t>Загальна різниця в платежах при проведенні термомодернізації, грн</t>
  </si>
  <si>
    <t>Загальні платежі при проведенні термомодернізації, грн</t>
  </si>
  <si>
    <t>Виплата кредиту без державної підтримки, грн</t>
  </si>
  <si>
    <t>Дисконтована агрегована різниця в платежах при проведенні термомодернізації за державною програмою за умови відшкодування частини відсотків за кредитом місцевими бюджетами, грн</t>
  </si>
  <si>
    <t>Дисконтована загальна різниця в платежах при проведенні термомодернізації за державною програмою за умови відшкодування частини відсотків за кредитом місцевими бюджетами, грн</t>
  </si>
  <si>
    <t>Агрегована різниця в платежах при проведенні термомодернізації за державною програмою за умови відшкодування частини відсотків за кредитом місцевими бюджетами, грн</t>
  </si>
  <si>
    <t>Загальна різниця в платежах при проведенні термомодернізації за державною програмою за умови відшкодування частини відсотків за кредитом місцевими бюджетами, грн</t>
  </si>
  <si>
    <t>Загальні платежі при проведенні термомодернізації за державною програмою за умови відшкодування частини відсотків за кредитом місцевими бюджетами, грн</t>
  </si>
  <si>
    <t>Витрати місцевих бюджетів на компенсацію частини відсотків за кредитом, грн</t>
  </si>
  <si>
    <t>Виплата кредиту за умови відшкодування частини відсотків за кредитом місцевими бюджетами, грн</t>
  </si>
  <si>
    <t>Дисконтована агрегована різниця в платежах між базовим та проектним сценарієм, грн</t>
  </si>
  <si>
    <t>Дисконтована загальна різниця в платежах між базовим та проектним сценарієм, грн</t>
  </si>
  <si>
    <t>Агрегована різниця в платежах між базовим та проектним сценарієм, грн</t>
  </si>
  <si>
    <t>Загальна різниця в платежах між базовим та проектним сценарієм, грн</t>
  </si>
  <si>
    <t>Загальні платежі при проведенні термомодернізації за державною програмою (проектний сценарій), грн</t>
  </si>
  <si>
    <t>Економія у платежах на опалення, грн</t>
  </si>
  <si>
    <t>Плата за опалення після термомодернізації, грн</t>
  </si>
  <si>
    <t>Плата за опалення без термомодернізації (базовий сценарій), грн</t>
  </si>
  <si>
    <t>Тривалість опалювального періоду, днів</t>
  </si>
  <si>
    <t>Виплата кредиту, грн</t>
  </si>
  <si>
    <t>Загальні початкові вкладення ОСББ, грн</t>
  </si>
  <si>
    <t>Разова комісія банку, грн</t>
  </si>
  <si>
    <t>Власний внесок ОСББ на термомодернізацію, грн</t>
  </si>
  <si>
    <t>Питоме споживання теплової енергії на опалення після термодернізації, Гкал на м2 за рік</t>
  </si>
  <si>
    <t>Питоме споживання теплової енергії на опалення до термодернізації, Гкал на м2 за рік</t>
  </si>
  <si>
    <t>Питоме споживання теплової енергії на опалення після термодернізації, кВт год на м2 за рік</t>
  </si>
  <si>
    <t>Питоме споживання теплової енергії на опалення до термодернізації, кВт год на м2 за рік</t>
  </si>
  <si>
    <t>Кількість квартир</t>
  </si>
  <si>
    <t>Додаткові дані</t>
  </si>
  <si>
    <t>Розмір депозиту для забезпечення, грн</t>
  </si>
  <si>
    <t>Відстрочення погашення тіла кредиту, місяці</t>
  </si>
  <si>
    <t>Обсяг щомісячних виплат по кредиту без державної компенсації, грн</t>
  </si>
  <si>
    <t>Обсяг щомісячних виплат по кредиту за умови відшкодування частини відсотків за кредитом місцевими бюджетами, грн</t>
  </si>
  <si>
    <t>Обсяг компенсації вартості обладнання та матеріалів з державного бюджету, грн</t>
  </si>
  <si>
    <t>Обсяг відшкодування з державного бюджету вартості обладнання та матеріалів, %</t>
  </si>
  <si>
    <t>Потенційне відшкодування частини відсотків за кредитом місцевими бюджетами, % кредитної ставки</t>
  </si>
  <si>
    <t>Кредитна ставка, %</t>
  </si>
  <si>
    <t>Разова комісія, грн</t>
  </si>
  <si>
    <t>Максимальний обсяг кредиту, грн</t>
  </si>
  <si>
    <t>Максимальний обсяг кредиту на 1 квартиру, грн</t>
  </si>
  <si>
    <t>Власний внесок, грн</t>
  </si>
  <si>
    <t>Власний внесок, %</t>
  </si>
  <si>
    <t>Загальні інвестиції в термомодернізацію, грн</t>
  </si>
  <si>
    <t>Ставка дисконтування, %</t>
  </si>
  <si>
    <t>Тариф на теплову енергію 2017/2018, грн за Гкал</t>
  </si>
  <si>
    <t>Тариф на теплову енергію 2016/2017, грн за Гкал</t>
  </si>
  <si>
    <t>Тариф на теплову енергію 2015/2016, грн за Гкал</t>
  </si>
  <si>
    <t>Фінансові дані</t>
  </si>
  <si>
    <t>Очікуване споживання теплової енергії після термомодернізації, Гкал</t>
  </si>
  <si>
    <t>Дані про будинок</t>
  </si>
  <si>
    <t>З термомодернізацією</t>
  </si>
  <si>
    <t>Без термомодернізації</t>
  </si>
  <si>
    <t>Проектний сценарій</t>
  </si>
  <si>
    <t>Базовий сценарій</t>
  </si>
  <si>
    <t>Початковий внесок</t>
  </si>
  <si>
    <t>2024/2025</t>
  </si>
  <si>
    <t>2023/2024</t>
  </si>
  <si>
    <t>2022/2023</t>
  </si>
  <si>
    <t>2021/2022</t>
  </si>
  <si>
    <t>2020/2021</t>
  </si>
  <si>
    <t>2019/2020</t>
  </si>
  <si>
    <t>2018/2019</t>
  </si>
  <si>
    <t>2017/2018</t>
  </si>
  <si>
    <t>2016/2017</t>
  </si>
  <si>
    <t>2015/2016</t>
  </si>
  <si>
    <t>Внесок ОСББ та разова комісія, грн</t>
  </si>
  <si>
    <t>Повернення кредиту, грн</t>
  </si>
  <si>
    <t>Приблизні грошові витрати за опалювальний період після модернізації будівель, грн</t>
  </si>
  <si>
    <t>Приблизні грошові витрати за опалювальний період без модернізації будівель, грн</t>
  </si>
  <si>
    <t>Початковий платіж</t>
  </si>
  <si>
    <t>Внесок ОСББ та разова комісія, грн на м2</t>
  </si>
  <si>
    <t>Повернення кредиту, грн на м2 на міс.*</t>
  </si>
  <si>
    <t>Приблизні щомісячні грошові витрати за опалювальний період після модернізації будівель, грн на м2</t>
  </si>
  <si>
    <t>Приблизні щомісячні грошові витрати за опалювальний період без модернізації будівель, грн на м2</t>
  </si>
  <si>
    <t>Укргазбанк</t>
  </si>
  <si>
    <t>Разова комісія</t>
  </si>
  <si>
    <t>Термін кредитування</t>
  </si>
  <si>
    <t>Ставка кредитування</t>
  </si>
  <si>
    <t>ПАТ Центренерго</t>
  </si>
  <si>
    <t>ТОВ фірма "ТехНова" (Чернігівська ТЕЦ)</t>
  </si>
  <si>
    <t>ТОВ "НіжинТеплоМережі"</t>
  </si>
  <si>
    <t>ПАТ "Облтеплокомуненерго"</t>
  </si>
  <si>
    <t>КП "Прилукитепловодопостачання" Прилуцької міської ради Чернігівської області</t>
  </si>
  <si>
    <t>Чернігівська</t>
  </si>
  <si>
    <t>МКП "Чернівцітеплокомуненерго"</t>
  </si>
  <si>
    <t>Чернівецька</t>
  </si>
  <si>
    <t>УКП "Уманьтеплокомуненерго"</t>
  </si>
  <si>
    <t>ТОВ "Смілаенергопромтранс"</t>
  </si>
  <si>
    <t>ТОВ "Сміла Енергоінвест"</t>
  </si>
  <si>
    <t>ПАТ "Черкаське хімволокно"</t>
  </si>
  <si>
    <t>КПТМ "Черкаситеплокомуненерго" Черкаської міської ради</t>
  </si>
  <si>
    <t>Канівське КПТМ</t>
  </si>
  <si>
    <t>ДП "Теплокомуненерго" ПАТ "Монастирищенський ордена Трудового Червоного Прапора машинобудівний завод"</t>
  </si>
  <si>
    <t>Ватутінське комунальне підприємство теплових мереж</t>
  </si>
  <si>
    <t>Черкаська</t>
  </si>
  <si>
    <t>ВП Хмельницька атомна електрична станція НАЕК Енергоатом</t>
  </si>
  <si>
    <t>ТОВ "Шепетівка Енергоінвест"</t>
  </si>
  <si>
    <t>МКП "Хмельницьктеплокомуненерго"</t>
  </si>
  <si>
    <t>КП по експлуатації теплового господарства "Тепловик" Старокостянтинівської міської ради</t>
  </si>
  <si>
    <t>КП "Славутське житлово-комунальне об`єднання"</t>
  </si>
  <si>
    <t>КП "Південно-західні тепломережі"</t>
  </si>
  <si>
    <t>КП "Міськтепловоденергія" (м. Кам'янець-Подільський)</t>
  </si>
  <si>
    <t>Волочиське комунальне підприємство теплових мереж "Тепловик"</t>
  </si>
  <si>
    <t>Хмельницька</t>
  </si>
  <si>
    <t>ПП "Херсонтеплогенерація"</t>
  </si>
  <si>
    <t>ПАТ  "Херсонська теплоелектроцентраль"</t>
  </si>
  <si>
    <t>МКП "Херсонтеплоенерго"</t>
  </si>
  <si>
    <t>КПТМ "Каховтеплокомунерго"</t>
  </si>
  <si>
    <t>Херсонська</t>
  </si>
  <si>
    <t xml:space="preserve">Харківське ОКП "Дирекція розвитку інфраструктури території" </t>
  </si>
  <si>
    <t>ТОВ "Котельні лікарняного комплексу" (м. Харків)</t>
  </si>
  <si>
    <t>ПрАТ  «Теплоенергетичний центр  Роганського промвузла»</t>
  </si>
  <si>
    <t>ПКП "Тепломережі"</t>
  </si>
  <si>
    <t>Красноградське ПТМ</t>
  </si>
  <si>
    <t>КП ТМ Харківського району Харьківської районної державної адміністрації</t>
  </si>
  <si>
    <t>КП БРР "Балаклійські теплові мережі"</t>
  </si>
  <si>
    <t>КП "Чугуївтепло"</t>
  </si>
  <si>
    <t>КП "Харківські теплові мережі"</t>
  </si>
  <si>
    <t>КП "Теплоенерго" Лозівської міської ради Харківської області</t>
  </si>
  <si>
    <t>КП "Тепловодосервіс" Лозівської районної ради</t>
  </si>
  <si>
    <t>Ізюмське КП ТМ</t>
  </si>
  <si>
    <t>Вовчанське підприємство теплових мереж</t>
  </si>
  <si>
    <t>Борівське КП ТМ</t>
  </si>
  <si>
    <t>Харківська</t>
  </si>
  <si>
    <t>КПТМ Тернопільської обласної ради "Тернопільтеплокомуненерго"</t>
  </si>
  <si>
    <t>КПТМ "Тернопільміськтеплокомуненерго"</t>
  </si>
  <si>
    <t>Тернопільська</t>
  </si>
  <si>
    <t>ТОВ "Шосткінське підприємство "Харківенергоремонт"</t>
  </si>
  <si>
    <t>ТОВ "ТЕПЛОВОДОПОСТАЧ"</t>
  </si>
  <si>
    <t>ТОВ "Сумитеплоенерго"</t>
  </si>
  <si>
    <t>ТОВ "Брок-Енергія"</t>
  </si>
  <si>
    <t>ПАТ "Сумське машинобудівне НВО ім. М.В.Фрунзе"</t>
  </si>
  <si>
    <t>КП Білопільської міської ради "Теплосервіс Білопілля"</t>
  </si>
  <si>
    <t>КП "Шосткинський казенний завод  "Імпульс"</t>
  </si>
  <si>
    <t>КП "Теплогарант" (м. Конотоп)</t>
  </si>
  <si>
    <t>КП "Ромникомунтепло"РМР"</t>
  </si>
  <si>
    <t>КП "Глухівський тепловий район"</t>
  </si>
  <si>
    <t>ДП "Конотопський авіаремонтний завод "АВІАКОН"</t>
  </si>
  <si>
    <t>Сумська</t>
  </si>
  <si>
    <t>ТОВ "Рівнетеплоенерго"</t>
  </si>
  <si>
    <t xml:space="preserve">Кузнецовське міське комунальне підприємство </t>
  </si>
  <si>
    <t>КП "Костопількомуненергія"</t>
  </si>
  <si>
    <t xml:space="preserve">КП "Здолбунівкомуненерго" Здолбунівської міської ради </t>
  </si>
  <si>
    <t>КП "Дубнокомуненергія"  Дубенської міської ради</t>
  </si>
  <si>
    <t>Рівненська</t>
  </si>
  <si>
    <t>ПОКВПТГ "Полтаватеплоенерго"</t>
  </si>
  <si>
    <t>ПАТ "Полтаваобленерго" (Кременчуцька ТЕЦ)</t>
  </si>
  <si>
    <t>ОКВПТГ "Миргородтеплоенерго"</t>
  </si>
  <si>
    <t>ОКВПТГ "Лубнитеплоенерго"</t>
  </si>
  <si>
    <t>КПТГ "Гадячтеплоенерго"</t>
  </si>
  <si>
    <t>КП "Теплоенерго" (м. Кременчук)</t>
  </si>
  <si>
    <t>КВП "Комсомольськтеплоенерго"</t>
  </si>
  <si>
    <t>Полтавська</t>
  </si>
  <si>
    <t>ТОВ "Теплодаренерго"</t>
  </si>
  <si>
    <t>КПТМ "Южтеплокомуненерго"</t>
  </si>
  <si>
    <t>КП "Теплопостачання міста Одеси"</t>
  </si>
  <si>
    <t>КП "Іллічівськтеплоенерго"</t>
  </si>
  <si>
    <t>КП "Білгород-Дністровськтеплоенерго"</t>
  </si>
  <si>
    <t>КП  «Теплові мережі Ізмаїлтеплокомуненерго»</t>
  </si>
  <si>
    <t>КВЕП "Котовськтеплокомуненерго"</t>
  </si>
  <si>
    <t>Одеська</t>
  </si>
  <si>
    <t>ПАТ "Миколаївська ТЕЦ"</t>
  </si>
  <si>
    <t>ОКП "Миколаївоблтеплоенерго"</t>
  </si>
  <si>
    <t>КП Первомайської міської ради "Тепло"</t>
  </si>
  <si>
    <t>КП "Теплопостачання та водо-каналізаційне господарство"</t>
  </si>
  <si>
    <t>Миколаївська</t>
  </si>
  <si>
    <t>ТзОВ НВП "Енергія-Новояворівськ"</t>
  </si>
  <si>
    <t>ТзОВ "Енергія-Новий Розділ"</t>
  </si>
  <si>
    <t>ПТМ "Самбіртеплокомуненерго"</t>
  </si>
  <si>
    <t>ЛКП "Залізничнетеплоенерго"</t>
  </si>
  <si>
    <t>ЛКМП "Львівтеплоенерго"</t>
  </si>
  <si>
    <t>КП Сокальської міської ради "Сокальтеплокомуненерго"</t>
  </si>
  <si>
    <t>КП "Червоноградтеплокомуненерго"</t>
  </si>
  <si>
    <t>КП "Трускавецьтепло"</t>
  </si>
  <si>
    <t>КП "Стрийтеплоенерго"</t>
  </si>
  <si>
    <t xml:space="preserve">КП "Жовкватеплоенерго" </t>
  </si>
  <si>
    <t>КП "Бродитеплоенерго"</t>
  </si>
  <si>
    <t>КП "Бориславтеплоенерго"</t>
  </si>
  <si>
    <t>КП  "Дрогобичтеплоенерго" ДМР</t>
  </si>
  <si>
    <t>ДКП "Стебниктеплокомуненерго"</t>
  </si>
  <si>
    <t>Львiвська</t>
  </si>
  <si>
    <t>ТОВ "ДТЕК Ровенькиантрацит"</t>
  </si>
  <si>
    <t>Луганське МКП "Теплокомуненерго"</t>
  </si>
  <si>
    <t>КТП "Алчевськтеплокомуненерго"</t>
  </si>
  <si>
    <t>КСТП "Рубіжнетеплокомуненерго" Рубіжанської міської ради</t>
  </si>
  <si>
    <t>КП "СТП "Ровенькитеплокомуненерго"</t>
  </si>
  <si>
    <t>КП "Сєвєродонецьктеплокомуненерго"</t>
  </si>
  <si>
    <t>КП "Первомайськтеплокомуненерго" Первомайської міської ради</t>
  </si>
  <si>
    <t>КП "Лисичанськтепломережа"</t>
  </si>
  <si>
    <t>ДП "Сєвєродонецька ТЕЦ"</t>
  </si>
  <si>
    <t>АМКП "Теплокомуненерго"</t>
  </si>
  <si>
    <t>Луганська</t>
  </si>
  <si>
    <t>ТОВ "ДОЛИНСЬКІ ОБ'ЄДНАНІ МЕРЕЖІ"</t>
  </si>
  <si>
    <t>СП-ТОВ "Світловодськпобут"</t>
  </si>
  <si>
    <t xml:space="preserve">КП "Теплокомуненерго" Олександрійської міської ради </t>
  </si>
  <si>
    <t>КП "Теплоенергетик"</t>
  </si>
  <si>
    <t>ДП "Кіровоградтепло" ТОВ "Центр науково-технічних іновацій Української нафтогазової академії"</t>
  </si>
  <si>
    <t>Кіровоградська</t>
  </si>
  <si>
    <t>ТОВ "Теплопостачсервіс" (м. Київ)</t>
  </si>
  <si>
    <t>ТОВ "ЄВРО-РЕКОНСТРУКЦІЯ"</t>
  </si>
  <si>
    <t>ПКПП "Теплокомунсервіс" (м. Буча)</t>
  </si>
  <si>
    <t>ПАТ "Енергія"</t>
  </si>
  <si>
    <t>КПТМ "Бориспільтепломережа"</t>
  </si>
  <si>
    <t>КП БМР "Білоцерківтепломережа"</t>
  </si>
  <si>
    <t>КП "Управління житлово-комунального господарства" (м. Славутич)</t>
  </si>
  <si>
    <t>КП "Києво-Святошинська тепломережа" Київської обласної ради</t>
  </si>
  <si>
    <t>КП "Вишнівськтеплоенерго" Вишневої міської ради Києво-Святошинського району Київської області</t>
  </si>
  <si>
    <t>КП "Васильківтепломережа"</t>
  </si>
  <si>
    <t>КП "Броваритепловодоенергія"</t>
  </si>
  <si>
    <t>КП "Боярське ГВУЖКГ Боярської міської ради Києво-Святошинського району Київської області"</t>
  </si>
  <si>
    <t>Вишгородське РКП "Вишгородтепломережа"</t>
  </si>
  <si>
    <t>Київська</t>
  </si>
  <si>
    <t>ТОВ "Станіславська теплоенергетична компанія"</t>
  </si>
  <si>
    <t>КП "Водотеплосервіс" Калуської міської ради</t>
  </si>
  <si>
    <t>ДМП "Івано-Франківськтеплокомуненерго"</t>
  </si>
  <si>
    <t>Івано_Франківська</t>
  </si>
  <si>
    <t>ТОВ "Мелітопольські теплові мережі"</t>
  </si>
  <si>
    <t>ПАТ "Мотор Січ" (м. Запоріжжя)</t>
  </si>
  <si>
    <t>ПАТ "Бердянське підприємство теплових мереж"</t>
  </si>
  <si>
    <t>КП "Токмак теплоенергія" Токмацької міської ради</t>
  </si>
  <si>
    <t xml:space="preserve">КП "Дніпрорудненські теплові мережі" </t>
  </si>
  <si>
    <t>Концерн "Міські теплові мережі"</t>
  </si>
  <si>
    <t>Запорізька</t>
  </si>
  <si>
    <t>КП теплозабезпечення (м. Коростень)</t>
  </si>
  <si>
    <t>КП Новоград-Волинської міської ради
«Новоград-Волинськтеплокомуненерго»</t>
  </si>
  <si>
    <t>КП "Озерне" Новогуйвинської селищної ради</t>
  </si>
  <si>
    <t xml:space="preserve">КП "Житомиртеплокомуненерго"  </t>
  </si>
  <si>
    <t>КП "Бердичівтеплоенерго"</t>
  </si>
  <si>
    <t>Житомирська</t>
  </si>
  <si>
    <t>ТОВ "Краматорськтеплоенерго"</t>
  </si>
  <si>
    <t>ТОВ "ДТЕК Східенерго" ВП "Курахівська ТЕС"</t>
  </si>
  <si>
    <t>ТОВ "ДТЕК "Добропіллявугілля"</t>
  </si>
  <si>
    <t>ТОВ "Водотеплокомунікація" (м. Вугледар)</t>
  </si>
  <si>
    <t>ТОВ "Артемівськ-Енергія"</t>
  </si>
  <si>
    <t>ТДВ "Шахта "Білозерська"</t>
  </si>
  <si>
    <t>ПрАТ "Горлівськтепломережа"</t>
  </si>
  <si>
    <t>ПАТ "Часівоярський вогнетривкий комбінат"</t>
  </si>
  <si>
    <t>ПАТ "ДТЕК Донецькобленерго" ВП "Миронівська ТЕС"</t>
  </si>
  <si>
    <t>ПАТ "Донбасенерго"</t>
  </si>
  <si>
    <t>ОКП "Донецьктеплокомуненерго"</t>
  </si>
  <si>
    <t>КП "Тепломережа" (м. Донецьк)</t>
  </si>
  <si>
    <t>КП "Макіївтепломережа"</t>
  </si>
  <si>
    <t>КП "Красноармійськтепломережа"</t>
  </si>
  <si>
    <t>КП "Вуглик" Горлівської міської ради</t>
  </si>
  <si>
    <t>ККП "Маріупольтепломережа"</t>
  </si>
  <si>
    <t>ККП "Донецькміськтепломережа"</t>
  </si>
  <si>
    <t>КВП «Краматорська тепломережа» Краматорської міської ради</t>
  </si>
  <si>
    <t>Донецька</t>
  </si>
  <si>
    <t>ТОВ "Дзержинське управління регіонального будівництва"</t>
  </si>
  <si>
    <t>ТОВ "Теплосервіс"</t>
  </si>
  <si>
    <t>Першотравенське міське житлово-комунальне підприємство</t>
  </si>
  <si>
    <t>ПАТ "ДТЕК Дніпроенерго" ВП "Придніпровська ТЕС"</t>
  </si>
  <si>
    <t>ПАТ "ДТЕК Дніпроенерго" ВП "Криворізька ТЕС"</t>
  </si>
  <si>
    <t>Орджонікідзевському міському КП "Орджонікідзетеплоенерго"</t>
  </si>
  <si>
    <t>Нікопольське КП «Нікопольтеплоенерго»</t>
  </si>
  <si>
    <t>МКП "Дніпропетровські міські теплові мережі"</t>
  </si>
  <si>
    <t>КПТМ "Криворіжтепломережа"</t>
  </si>
  <si>
    <t>КП "ТПТЕ "Теплотранс" Дніпропетровської міської ради</t>
  </si>
  <si>
    <t>КП "Теплоенерго" Дніпропетровської міської ради</t>
  </si>
  <si>
    <t>КП "Павлоградтеплоенерго"</t>
  </si>
  <si>
    <t>КП "Новомосковськтеплоенерго"</t>
  </si>
  <si>
    <t>КП "Марганецьтепломережа"</t>
  </si>
  <si>
    <t>КП "Коменергосервіс" Дніпропетровської міської ради</t>
  </si>
  <si>
    <t>КП "Жовтоводськтепломережа"</t>
  </si>
  <si>
    <t>КП "Дніпродзержинськтепломережа"</t>
  </si>
  <si>
    <t>Комунальне підприємство "Тернівське житлово-комунальне підприємство"</t>
  </si>
  <si>
    <t>ДП "Криворізька теплоцентраль"</t>
  </si>
  <si>
    <t>Дніпропетровська</t>
  </si>
  <si>
    <t>ТзОВ "Західна Теплоенергетична Група"</t>
  </si>
  <si>
    <t>ПТМ "Ковельтепло"</t>
  </si>
  <si>
    <t>КП "Нововолинськтеплокомуненерго" житлово-комунального об'єднання Нововолинської міської ради</t>
  </si>
  <si>
    <t>ДКП "Луцьктепло"</t>
  </si>
  <si>
    <t>Володимир-Волинське ПТМ "Володимир-олинськтеплокомуненерго"</t>
  </si>
  <si>
    <t>Волинська</t>
  </si>
  <si>
    <t>Могилів-Подільське міське КП "Теплоенергетик"</t>
  </si>
  <si>
    <t>КП ВМР "Вінницяміськтеплоенерго"</t>
  </si>
  <si>
    <t>КП "Вінницяоблтеплоенерго"</t>
  </si>
  <si>
    <t>ДП "Теплокомуненерго Маяк" ВАТ "Маяк"</t>
  </si>
  <si>
    <t xml:space="preserve">Відокремлений підрозділ "Ладижинська ТЕС" ПАТ "ДТЕК Західенерго" </t>
  </si>
  <si>
    <t>Вінницька</t>
  </si>
  <si>
    <t>ЦО, грн за Гкал з ПДВ</t>
  </si>
  <si>
    <t>Теплова енергія, грн за Гкал з ПДВ</t>
  </si>
  <si>
    <t>Компанія</t>
  </si>
  <si>
    <t>Тарифи на централізоване опалення вказані станом на 1 травня 2015 року і затверджені Постановою № 1171 від 31 березня 2015 року Національної комісії, що здійснює державне регулювання у сферах енергетики та комунальних послуг.
Тарифи на теплову енергію, її виробництво, транспортування, постачання для потреб населення (тарифи для житлово-експлуатаційних організацій) вказані станом на 1 квітня 2015 року і затверджені відповідними постановами Національної комісії, що здійснює державне регулювання у сферах енергетики та комунальних послуг для кожної теплопостачальної організації.
Для організацій, яким затверджено двоставкові тарифи на централізоване опалення, для більш точних розрахунків використані тарифи на теплову енергію (позначені блакитним маркером); тарифи на централізоване опалення без врахування умовно-постійної частини тарифу зазначено в примітках.</t>
  </si>
  <si>
    <t>АРК</t>
  </si>
  <si>
    <t>Споживання теплової енергії до модернізації, Гкал за опалювальний період</t>
  </si>
  <si>
    <t>Очікувана економія теплової енергії внаслідок термомодернізації, %</t>
  </si>
  <si>
    <t>Вартість робіт та послуг (включаючи проектну документацію), грн</t>
  </si>
  <si>
    <t>Тариф на теплову енергію, грн за м2 за опалювальний сезон</t>
  </si>
  <si>
    <t>грн. *авансовий внесок, не обов'язково</t>
  </si>
  <si>
    <t>Одноразова комісія</t>
  </si>
  <si>
    <t>Обсяг кредиту в разі відсутності державної компенсації, грн</t>
  </si>
  <si>
    <t>Різниця платежів</t>
  </si>
  <si>
    <t>Додаткова компенсація відсотків за кредитом з місцевих бюджетів</t>
  </si>
  <si>
    <t>Економія у платежах за електричну енергію</t>
  </si>
  <si>
    <t>Тариф на електричну енергію 2015, грн за кВт год</t>
  </si>
  <si>
    <t>Тариф на електричну енергію 2016, грн за кВт год</t>
  </si>
  <si>
    <t>Тариф на електричну енергію 2017, грн за кВт год</t>
  </si>
  <si>
    <t>Разова комісія банку</t>
  </si>
  <si>
    <t>2015</t>
  </si>
  <si>
    <t>Розрахунки в калькуляторі є орієнтовними. Кінцеві розрахунки за кредитом, вартістю робіт та матеріалів можуть відрізнятися від наведених.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</si>
</sst>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[$$-409]* #,##0_ ;_-[$$-409]* \-#,##0\ ;_-[$$-409]* &quot;-&quot;_ ;_-@_ "/>
    <numFmt numFmtId="165" formatCode="#,##0.0"/>
    <numFmt numFmtId="166" formatCode="#,##0.000"/>
    <numFmt numFmtId="167" formatCode="0.0%"/>
    <numFmt numFmtId="168" formatCode="#,##0.0000"/>
    <numFmt numFmtId="169" formatCode="#,##0;[Red]#,##0"/>
    <numFmt numFmtId="170" formatCode="0.0"/>
    <numFmt numFmtId="171" formatCode="dd/mm/yyyy;@"/>
    <numFmt numFmtId="172" formatCode="0.000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Segoe UI"/>
      <family val="2"/>
      <charset val="204"/>
    </font>
    <font>
      <i/>
      <sz val="10"/>
      <color rgb="FFFF0000"/>
      <name val="Segoe UI"/>
      <family val="2"/>
      <charset val="204"/>
    </font>
    <font>
      <sz val="11"/>
      <color rgb="FFFF0000"/>
      <name val="Segoe UI"/>
      <family val="2"/>
      <charset val="204"/>
    </font>
    <font>
      <b/>
      <sz val="11"/>
      <color theme="0"/>
      <name val="Segoe UI"/>
      <family val="2"/>
      <charset val="204"/>
    </font>
    <font>
      <b/>
      <sz val="11"/>
      <color theme="1"/>
      <name val="Segoe UI"/>
      <family val="2"/>
      <charset val="204"/>
    </font>
    <font>
      <b/>
      <sz val="14"/>
      <name val="Segoe UI"/>
      <family val="2"/>
      <charset val="204"/>
    </font>
    <font>
      <i/>
      <sz val="10"/>
      <color theme="1"/>
      <name val="Segoe UI"/>
      <family val="2"/>
      <charset val="204"/>
    </font>
    <font>
      <i/>
      <sz val="11"/>
      <color theme="1"/>
      <name val="Segoe UI"/>
      <family val="2"/>
      <charset val="204"/>
    </font>
    <font>
      <b/>
      <i/>
      <sz val="10"/>
      <color theme="1"/>
      <name val="Segoe UI"/>
      <family val="2"/>
      <charset val="204"/>
    </font>
    <font>
      <b/>
      <i/>
      <sz val="11"/>
      <color theme="1"/>
      <name val="Segoe UI"/>
      <family val="2"/>
      <charset val="204"/>
    </font>
    <font>
      <sz val="10"/>
      <color theme="1"/>
      <name val="Segoe UI"/>
      <family val="2"/>
      <charset val="204"/>
    </font>
    <font>
      <sz val="11"/>
      <color theme="0"/>
      <name val="Segoe UI"/>
      <family val="2"/>
      <charset val="204"/>
    </font>
    <font>
      <b/>
      <sz val="10"/>
      <color theme="1"/>
      <name val="Segoe UI"/>
      <family val="2"/>
      <charset val="204"/>
    </font>
    <font>
      <i/>
      <sz val="9"/>
      <color theme="1" tint="0.34998626667073579"/>
      <name val="Segoe UI"/>
      <family val="2"/>
      <charset val="204"/>
    </font>
    <font>
      <sz val="9"/>
      <color theme="1" tint="0.34998626667073579"/>
      <name val="Segoe UI"/>
      <family val="2"/>
      <charset val="204"/>
    </font>
    <font>
      <b/>
      <sz val="16"/>
      <color theme="1"/>
      <name val="Segoe U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rgb="FF003366"/>
      <name val="Arial"/>
      <family val="2"/>
      <charset val="204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theme="0"/>
      <name val="Arial"/>
      <family val="2"/>
      <charset val="204"/>
    </font>
    <font>
      <b/>
      <i/>
      <sz val="11"/>
      <color indexed="1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Cambria"/>
      <family val="1"/>
      <charset val="204"/>
      <scheme val="major"/>
    </font>
    <font>
      <sz val="11"/>
      <color rgb="FFFF0000"/>
      <name val="Arial"/>
      <family val="2"/>
      <charset val="204"/>
    </font>
    <font>
      <b/>
      <i/>
      <sz val="16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indexed="81"/>
      <name val="Tahoma"/>
      <charset val="1"/>
    </font>
    <font>
      <b/>
      <sz val="11"/>
      <name val="Segoe UI"/>
      <family val="2"/>
      <charset val="204"/>
    </font>
    <font>
      <b/>
      <i/>
      <sz val="11"/>
      <name val="Segoe UI"/>
      <family val="2"/>
      <charset val="204"/>
    </font>
    <font>
      <b/>
      <i/>
      <sz val="10"/>
      <name val="Segoe U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25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</cellStyleXfs>
  <cellXfs count="438">
    <xf numFmtId="0" fontId="0" fillId="0" borderId="0" xfId="0"/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2" fontId="6" fillId="0" borderId="1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0" fillId="0" borderId="1" xfId="0" applyBorder="1"/>
    <xf numFmtId="0" fontId="0" fillId="0" borderId="1" xfId="0" applyFill="1" applyBorder="1"/>
    <xf numFmtId="0" fontId="22" fillId="6" borderId="4" xfId="0" applyFont="1" applyFill="1" applyBorder="1" applyAlignment="1">
      <alignment horizontal="center"/>
    </xf>
    <xf numFmtId="3" fontId="0" fillId="0" borderId="1" xfId="0" applyNumberFormat="1" applyBorder="1"/>
    <xf numFmtId="2" fontId="0" fillId="0" borderId="1" xfId="0" applyNumberFormat="1" applyBorder="1"/>
    <xf numFmtId="4" fontId="0" fillId="0" borderId="1" xfId="0" applyNumberFormat="1" applyBorder="1"/>
    <xf numFmtId="9" fontId="0" fillId="0" borderId="1" xfId="0" applyNumberFormat="1" applyBorder="1" applyAlignment="1">
      <alignment horizontal="left"/>
    </xf>
    <xf numFmtId="0" fontId="22" fillId="0" borderId="1" xfId="0" applyFont="1" applyBorder="1"/>
    <xf numFmtId="0" fontId="0" fillId="0" borderId="1" xfId="0" applyFill="1" applyBorder="1" applyAlignment="1">
      <alignment horizontal="left"/>
    </xf>
    <xf numFmtId="0" fontId="22" fillId="6" borderId="1" xfId="0" applyFont="1" applyFill="1" applyBorder="1" applyAlignment="1">
      <alignment horizontal="center"/>
    </xf>
    <xf numFmtId="0" fontId="0" fillId="0" borderId="4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2" fontId="0" fillId="0" borderId="0" xfId="0" applyNumberFormat="1"/>
    <xf numFmtId="0" fontId="22" fillId="6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/>
    <xf numFmtId="0" fontId="2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5" fillId="10" borderId="5" xfId="3" applyFill="1" applyBorder="1" applyAlignment="1" applyProtection="1">
      <alignment horizontal="center" wrapText="1"/>
    </xf>
    <xf numFmtId="0" fontId="0" fillId="10" borderId="1" xfId="0" applyFill="1" applyBorder="1" applyAlignment="1">
      <alignment horizontal="center"/>
    </xf>
    <xf numFmtId="0" fontId="26" fillId="10" borderId="1" xfId="0" applyFont="1" applyFill="1" applyBorder="1" applyAlignment="1">
      <alignment horizontal="center" wrapText="1"/>
    </xf>
    <xf numFmtId="0" fontId="26" fillId="1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9" fontId="0" fillId="0" borderId="0" xfId="0" applyNumberFormat="1"/>
    <xf numFmtId="169" fontId="0" fillId="0" borderId="0" xfId="0" applyNumberFormat="1"/>
    <xf numFmtId="3" fontId="0" fillId="0" borderId="0" xfId="0" applyNumberFormat="1"/>
    <xf numFmtId="0" fontId="0" fillId="0" borderId="10" xfId="0" applyBorder="1"/>
    <xf numFmtId="170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9" xfId="0" applyBorder="1"/>
    <xf numFmtId="2" fontId="0" fillId="0" borderId="10" xfId="0" applyNumberFormat="1" applyBorder="1"/>
    <xf numFmtId="2" fontId="0" fillId="0" borderId="10" xfId="0" applyNumberFormat="1" applyBorder="1" applyAlignment="1">
      <alignment wrapText="1"/>
    </xf>
    <xf numFmtId="2" fontId="0" fillId="0" borderId="10" xfId="0" applyNumberFormat="1" applyBorder="1" applyAlignment="1">
      <alignment horizontal="left" wrapText="1"/>
    </xf>
    <xf numFmtId="0" fontId="0" fillId="0" borderId="10" xfId="0" applyBorder="1" applyAlignment="1">
      <alignment wrapText="1"/>
    </xf>
    <xf numFmtId="0" fontId="0" fillId="4" borderId="0" xfId="0" applyFill="1"/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1" fontId="0" fillId="0" borderId="0" xfId="0" applyNumberFormat="1"/>
    <xf numFmtId="0" fontId="3" fillId="0" borderId="0" xfId="0" applyFont="1" applyAlignment="1">
      <alignment wrapText="1"/>
    </xf>
    <xf numFmtId="1" fontId="0" fillId="4" borderId="0" xfId="0" applyNumberFormat="1" applyFill="1"/>
    <xf numFmtId="170" fontId="0" fillId="4" borderId="0" xfId="0" applyNumberFormat="1" applyFill="1"/>
    <xf numFmtId="9" fontId="0" fillId="4" borderId="0" xfId="0" applyNumberFormat="1" applyFill="1"/>
    <xf numFmtId="169" fontId="0" fillId="4" borderId="0" xfId="0" applyNumberFormat="1" applyFill="1"/>
    <xf numFmtId="2" fontId="0" fillId="0" borderId="0" xfId="0" applyNumberFormat="1" applyAlignment="1">
      <alignment wrapText="1"/>
    </xf>
    <xf numFmtId="169" fontId="0" fillId="0" borderId="0" xfId="0" applyNumberFormat="1" applyFill="1"/>
    <xf numFmtId="14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2" fontId="0" fillId="0" borderId="8" xfId="0" applyNumberFormat="1" applyBorder="1" applyAlignment="1">
      <alignment wrapText="1"/>
    </xf>
    <xf numFmtId="172" fontId="0" fillId="0" borderId="9" xfId="0" applyNumberFormat="1" applyBorder="1"/>
    <xf numFmtId="1" fontId="0" fillId="0" borderId="9" xfId="0" applyNumberFormat="1" applyFill="1" applyBorder="1"/>
    <xf numFmtId="0" fontId="0" fillId="0" borderId="15" xfId="0" applyBorder="1"/>
    <xf numFmtId="3" fontId="0" fillId="0" borderId="6" xfId="0" applyNumberFormat="1" applyBorder="1"/>
    <xf numFmtId="2" fontId="0" fillId="0" borderId="8" xfId="0" applyNumberFormat="1" applyBorder="1" applyAlignment="1">
      <alignment horizontal="left" wrapText="1"/>
    </xf>
    <xf numFmtId="3" fontId="0" fillId="0" borderId="9" xfId="0" applyNumberFormat="1" applyBorder="1"/>
    <xf numFmtId="9" fontId="0" fillId="0" borderId="9" xfId="0" applyNumberFormat="1" applyBorder="1"/>
    <xf numFmtId="3" fontId="0" fillId="0" borderId="9" xfId="0" applyNumberFormat="1" applyFill="1" applyBorder="1"/>
    <xf numFmtId="3" fontId="0" fillId="0" borderId="0" xfId="0" applyNumberFormat="1" applyAlignment="1">
      <alignment horizontal="center" vertical="center" wrapText="1"/>
    </xf>
    <xf numFmtId="3" fontId="0" fillId="0" borderId="7" xfId="0" applyNumberFormat="1" applyBorder="1"/>
    <xf numFmtId="0" fontId="0" fillId="0" borderId="7" xfId="0" applyBorder="1"/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" fontId="0" fillId="9" borderId="6" xfId="0" applyNumberFormat="1" applyFill="1" applyBorder="1"/>
    <xf numFmtId="4" fontId="0" fillId="9" borderId="7" xfId="0" applyNumberFormat="1" applyFill="1" applyBorder="1"/>
    <xf numFmtId="4" fontId="0" fillId="9" borderId="9" xfId="0" applyNumberFormat="1" applyFill="1" applyBorder="1"/>
    <xf numFmtId="4" fontId="0" fillId="9" borderId="1" xfId="0" applyNumberFormat="1" applyFill="1" applyBorder="1"/>
    <xf numFmtId="0" fontId="0" fillId="0" borderId="35" xfId="0" applyBorder="1" applyAlignment="1">
      <alignment horizontal="left" vertical="center" wrapText="1"/>
    </xf>
    <xf numFmtId="0" fontId="0" fillId="0" borderId="34" xfId="0" applyBorder="1" applyAlignment="1">
      <alignment horizontal="right" vertical="center" wrapText="1"/>
    </xf>
    <xf numFmtId="0" fontId="0" fillId="0" borderId="35" xfId="0" applyBorder="1" applyAlignment="1">
      <alignment horizontal="center" vertical="center" wrapText="1"/>
    </xf>
    <xf numFmtId="9" fontId="0" fillId="0" borderId="0" xfId="0" applyNumberFormat="1" applyFill="1"/>
    <xf numFmtId="2" fontId="0" fillId="11" borderId="0" xfId="0" applyNumberFormat="1" applyFill="1" applyBorder="1"/>
    <xf numFmtId="0" fontId="0" fillId="11" borderId="0" xfId="0" applyFill="1"/>
    <xf numFmtId="0" fontId="3" fillId="11" borderId="0" xfId="0" applyFont="1" applyFill="1" applyBorder="1" applyAlignment="1">
      <alignment horizontal="left" vertical="center" wrapText="1" indent="1"/>
    </xf>
    <xf numFmtId="2" fontId="0" fillId="0" borderId="6" xfId="0" applyNumberFormat="1" applyBorder="1"/>
    <xf numFmtId="4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 indent="1"/>
    </xf>
    <xf numFmtId="2" fontId="0" fillId="0" borderId="9" xfId="0" applyNumberFormat="1" applyBorder="1"/>
    <xf numFmtId="4" fontId="3" fillId="0" borderId="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left" vertical="center" wrapText="1" indent="1"/>
    </xf>
    <xf numFmtId="2" fontId="0" fillId="5" borderId="9" xfId="0" applyNumberFormat="1" applyFill="1" applyBorder="1"/>
    <xf numFmtId="2" fontId="0" fillId="4" borderId="9" xfId="0" applyNumberFormat="1" applyFill="1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0" fillId="4" borderId="9" xfId="0" applyNumberFormat="1" applyFill="1" applyBorder="1"/>
    <xf numFmtId="9" fontId="0" fillId="4" borderId="9" xfId="0" applyNumberFormat="1" applyFill="1" applyBorder="1"/>
    <xf numFmtId="1" fontId="0" fillId="4" borderId="13" xfId="0" applyNumberFormat="1" applyFill="1" applyBorder="1"/>
    <xf numFmtId="9" fontId="0" fillId="3" borderId="9" xfId="0" applyNumberFormat="1" applyFill="1" applyBorder="1"/>
    <xf numFmtId="9" fontId="0" fillId="10" borderId="9" xfId="0" applyNumberFormat="1" applyFill="1" applyBorder="1"/>
    <xf numFmtId="3" fontId="0" fillId="4" borderId="9" xfId="0" applyNumberFormat="1" applyFill="1" applyBorder="1"/>
    <xf numFmtId="0" fontId="0" fillId="12" borderId="0" xfId="0" applyFill="1"/>
    <xf numFmtId="1" fontId="24" fillId="4" borderId="6" xfId="0" applyNumberFormat="1" applyFont="1" applyFill="1" applyBorder="1"/>
    <xf numFmtId="2" fontId="0" fillId="0" borderId="10" xfId="0" applyNumberFormat="1" applyFont="1" applyFill="1" applyBorder="1" applyAlignment="1">
      <alignment horizontal="left" wrapText="1"/>
    </xf>
    <xf numFmtId="2" fontId="0" fillId="0" borderId="9" xfId="0" applyNumberFormat="1" applyFont="1" applyFill="1" applyBorder="1" applyAlignment="1">
      <alignment horizontal="right"/>
    </xf>
    <xf numFmtId="0" fontId="0" fillId="11" borderId="5" xfId="0" applyFill="1" applyBorder="1" applyAlignment="1">
      <alignment horizontal="left" vertical="center"/>
    </xf>
    <xf numFmtId="0" fontId="0" fillId="4" borderId="9" xfId="0" applyFill="1" applyBorder="1"/>
    <xf numFmtId="2" fontId="0" fillId="3" borderId="10" xfId="0" applyNumberFormat="1" applyFill="1" applyBorder="1" applyAlignment="1">
      <alignment horizontal="left" wrapText="1"/>
    </xf>
    <xf numFmtId="3" fontId="0" fillId="13" borderId="9" xfId="0" applyNumberFormat="1" applyFill="1" applyBorder="1"/>
    <xf numFmtId="0" fontId="38" fillId="12" borderId="0" xfId="0" applyFont="1" applyFill="1" applyAlignment="1">
      <alignment vertical="top"/>
    </xf>
    <xf numFmtId="0" fontId="38" fillId="12" borderId="0" xfId="0" applyFont="1" applyFill="1" applyAlignment="1">
      <alignment horizontal="right" vertical="top"/>
    </xf>
    <xf numFmtId="0" fontId="28" fillId="12" borderId="0" xfId="0" applyFont="1" applyFill="1"/>
    <xf numFmtId="0" fontId="28" fillId="12" borderId="0" xfId="0" applyFont="1" applyFill="1" applyBorder="1"/>
    <xf numFmtId="167" fontId="28" fillId="12" borderId="15" xfId="0" applyNumberFormat="1" applyFont="1" applyFill="1" applyBorder="1" applyAlignment="1">
      <alignment horizontal="center" vertical="center"/>
    </xf>
    <xf numFmtId="167" fontId="28" fillId="12" borderId="14" xfId="0" applyNumberFormat="1" applyFont="1" applyFill="1" applyBorder="1" applyAlignment="1">
      <alignment horizontal="center" vertical="center"/>
    </xf>
    <xf numFmtId="167" fontId="28" fillId="12" borderId="13" xfId="0" applyNumberFormat="1" applyFont="1" applyFill="1" applyBorder="1" applyAlignment="1">
      <alignment horizontal="center" vertical="center"/>
    </xf>
    <xf numFmtId="167" fontId="28" fillId="12" borderId="0" xfId="0" applyNumberFormat="1" applyFont="1" applyFill="1" applyBorder="1" applyAlignment="1">
      <alignment horizontal="center" vertical="center"/>
    </xf>
    <xf numFmtId="167" fontId="28" fillId="12" borderId="10" xfId="0" applyNumberFormat="1" applyFont="1" applyFill="1" applyBorder="1" applyAlignment="1">
      <alignment horizontal="center" vertical="center"/>
    </xf>
    <xf numFmtId="167" fontId="28" fillId="12" borderId="1" xfId="0" applyNumberFormat="1" applyFont="1" applyFill="1" applyBorder="1" applyAlignment="1">
      <alignment horizontal="center" vertical="center"/>
    </xf>
    <xf numFmtId="167" fontId="28" fillId="12" borderId="9" xfId="0" applyNumberFormat="1" applyFont="1" applyFill="1" applyBorder="1" applyAlignment="1">
      <alignment horizontal="center" vertical="center"/>
    </xf>
    <xf numFmtId="165" fontId="28" fillId="12" borderId="10" xfId="4" applyNumberFormat="1" applyFont="1" applyFill="1" applyBorder="1" applyAlignment="1">
      <alignment horizontal="center" vertical="center"/>
    </xf>
    <xf numFmtId="165" fontId="28" fillId="12" borderId="1" xfId="4" applyNumberFormat="1" applyFont="1" applyFill="1" applyBorder="1" applyAlignment="1">
      <alignment horizontal="center" vertical="center"/>
    </xf>
    <xf numFmtId="165" fontId="28" fillId="12" borderId="1" xfId="0" applyNumberFormat="1" applyFont="1" applyFill="1" applyBorder="1" applyAlignment="1">
      <alignment horizontal="center" vertical="center"/>
    </xf>
    <xf numFmtId="165" fontId="28" fillId="12" borderId="9" xfId="4" applyNumberFormat="1" applyFont="1" applyFill="1" applyBorder="1" applyAlignment="1">
      <alignment horizontal="center" vertical="center"/>
    </xf>
    <xf numFmtId="165" fontId="28" fillId="12" borderId="0" xfId="4" applyNumberFormat="1" applyFont="1" applyFill="1" applyBorder="1" applyAlignment="1">
      <alignment horizontal="center" vertical="center"/>
    </xf>
    <xf numFmtId="165" fontId="28" fillId="12" borderId="0" xfId="0" applyNumberFormat="1" applyFont="1" applyFill="1" applyBorder="1" applyAlignment="1">
      <alignment horizontal="center" vertical="center"/>
    </xf>
    <xf numFmtId="167" fontId="28" fillId="12" borderId="10" xfId="1" applyNumberFormat="1" applyFont="1" applyFill="1" applyBorder="1" applyAlignment="1">
      <alignment horizontal="center" vertical="center"/>
    </xf>
    <xf numFmtId="167" fontId="28" fillId="12" borderId="1" xfId="1" applyNumberFormat="1" applyFont="1" applyFill="1" applyBorder="1" applyAlignment="1">
      <alignment horizontal="center" vertical="center"/>
    </xf>
    <xf numFmtId="167" fontId="28" fillId="12" borderId="9" xfId="1" applyNumberFormat="1" applyFont="1" applyFill="1" applyBorder="1" applyAlignment="1">
      <alignment horizontal="center" vertical="center"/>
    </xf>
    <xf numFmtId="167" fontId="28" fillId="12" borderId="0" xfId="1" applyNumberFormat="1" applyFont="1" applyFill="1" applyBorder="1" applyAlignment="1">
      <alignment horizontal="center" vertical="center"/>
    </xf>
    <xf numFmtId="165" fontId="28" fillId="12" borderId="10" xfId="0" applyNumberFormat="1" applyFont="1" applyFill="1" applyBorder="1" applyAlignment="1">
      <alignment horizontal="center" vertical="center"/>
    </xf>
    <xf numFmtId="165" fontId="28" fillId="12" borderId="9" xfId="0" applyNumberFormat="1" applyFont="1" applyFill="1" applyBorder="1" applyAlignment="1">
      <alignment horizontal="center" vertical="center"/>
    </xf>
    <xf numFmtId="165" fontId="28" fillId="12" borderId="8" xfId="0" applyNumberFormat="1" applyFont="1" applyFill="1" applyBorder="1" applyAlignment="1">
      <alignment horizontal="center" vertical="center"/>
    </xf>
    <xf numFmtId="166" fontId="28" fillId="12" borderId="7" xfId="0" applyNumberFormat="1" applyFont="1" applyFill="1" applyBorder="1" applyAlignment="1">
      <alignment horizontal="center" vertical="center"/>
    </xf>
    <xf numFmtId="166" fontId="28" fillId="12" borderId="6" xfId="0" applyNumberFormat="1" applyFont="1" applyFill="1" applyBorder="1" applyAlignment="1">
      <alignment horizontal="center" vertical="center"/>
    </xf>
    <xf numFmtId="166" fontId="28" fillId="12" borderId="0" xfId="0" applyNumberFormat="1" applyFont="1" applyFill="1" applyBorder="1" applyAlignment="1">
      <alignment horizontal="center" vertical="center"/>
    </xf>
    <xf numFmtId="49" fontId="28" fillId="12" borderId="15" xfId="0" applyNumberFormat="1" applyFont="1" applyFill="1" applyBorder="1" applyAlignment="1">
      <alignment horizontal="center" vertical="center"/>
    </xf>
    <xf numFmtId="0" fontId="28" fillId="12" borderId="14" xfId="0" applyFont="1" applyFill="1" applyBorder="1" applyAlignment="1">
      <alignment horizontal="center" vertical="center"/>
    </xf>
    <xf numFmtId="0" fontId="28" fillId="12" borderId="13" xfId="0" applyFont="1" applyFill="1" applyBorder="1" applyAlignment="1">
      <alignment horizontal="center" vertical="center"/>
    </xf>
    <xf numFmtId="0" fontId="28" fillId="12" borderId="0" xfId="0" applyFont="1" applyFill="1" applyBorder="1" applyAlignment="1">
      <alignment horizontal="center" vertical="center"/>
    </xf>
    <xf numFmtId="0" fontId="28" fillId="12" borderId="8" xfId="0" applyFont="1" applyFill="1" applyBorder="1" applyAlignment="1">
      <alignment horizontal="center" vertical="center"/>
    </xf>
    <xf numFmtId="0" fontId="28" fillId="12" borderId="7" xfId="0" applyFont="1" applyFill="1" applyBorder="1" applyAlignment="1">
      <alignment horizontal="center" vertical="center"/>
    </xf>
    <xf numFmtId="0" fontId="28" fillId="12" borderId="6" xfId="0" applyFont="1" applyFill="1" applyBorder="1" applyAlignment="1">
      <alignment horizontal="center" vertical="center"/>
    </xf>
    <xf numFmtId="3" fontId="35" fillId="12" borderId="0" xfId="0" applyNumberFormat="1" applyFont="1" applyFill="1" applyBorder="1"/>
    <xf numFmtId="3" fontId="34" fillId="12" borderId="14" xfId="0" applyNumberFormat="1" applyFont="1" applyFill="1" applyBorder="1"/>
    <xf numFmtId="3" fontId="34" fillId="12" borderId="13" xfId="0" applyNumberFormat="1" applyFont="1" applyFill="1" applyBorder="1"/>
    <xf numFmtId="3" fontId="34" fillId="12" borderId="0" xfId="0" applyNumberFormat="1" applyFont="1" applyFill="1" applyBorder="1"/>
    <xf numFmtId="3" fontId="34" fillId="12" borderId="2" xfId="0" applyNumberFormat="1" applyFont="1" applyFill="1" applyBorder="1" applyAlignment="1">
      <alignment horizontal="right" vertical="center"/>
    </xf>
    <xf numFmtId="3" fontId="34" fillId="12" borderId="1" xfId="0" applyNumberFormat="1" applyFont="1" applyFill="1" applyBorder="1" applyAlignment="1">
      <alignment horizontal="right" vertical="center"/>
    </xf>
    <xf numFmtId="3" fontId="34" fillId="12" borderId="9" xfId="0" applyNumberFormat="1" applyFont="1" applyFill="1" applyBorder="1" applyAlignment="1">
      <alignment horizontal="right" vertical="center"/>
    </xf>
    <xf numFmtId="3" fontId="34" fillId="12" borderId="0" xfId="0" applyNumberFormat="1" applyFont="1" applyFill="1" applyBorder="1" applyAlignment="1">
      <alignment horizontal="right" vertical="center"/>
    </xf>
    <xf numFmtId="3" fontId="28" fillId="12" borderId="2" xfId="0" applyNumberFormat="1" applyFont="1" applyFill="1" applyBorder="1" applyAlignment="1">
      <alignment horizontal="right" vertical="center"/>
    </xf>
    <xf numFmtId="3" fontId="28" fillId="12" borderId="1" xfId="0" applyNumberFormat="1" applyFont="1" applyFill="1" applyBorder="1" applyAlignment="1">
      <alignment horizontal="right" vertical="center"/>
    </xf>
    <xf numFmtId="3" fontId="28" fillId="12" borderId="9" xfId="0" applyNumberFormat="1" applyFont="1" applyFill="1" applyBorder="1" applyAlignment="1">
      <alignment horizontal="right" vertical="center"/>
    </xf>
    <xf numFmtId="3" fontId="28" fillId="12" borderId="0" xfId="0" applyNumberFormat="1" applyFont="1" applyFill="1" applyBorder="1" applyAlignment="1">
      <alignment horizontal="right" vertical="center"/>
    </xf>
    <xf numFmtId="0" fontId="34" fillId="12" borderId="0" xfId="0" applyFont="1" applyFill="1" applyBorder="1" applyAlignment="1">
      <alignment horizontal="left" vertical="center" wrapText="1"/>
    </xf>
    <xf numFmtId="165" fontId="34" fillId="12" borderId="0" xfId="0" applyNumberFormat="1" applyFont="1" applyFill="1" applyBorder="1" applyAlignment="1">
      <alignment horizontal="right" vertical="center"/>
    </xf>
    <xf numFmtId="0" fontId="33" fillId="12" borderId="0" xfId="2" applyFont="1" applyFill="1" applyBorder="1" applyAlignment="1" applyProtection="1">
      <alignment vertical="center"/>
    </xf>
    <xf numFmtId="3" fontId="32" fillId="12" borderId="1" xfId="2" applyNumberFormat="1" applyFont="1" applyFill="1" applyBorder="1" applyAlignment="1" applyProtection="1">
      <alignment vertical="center"/>
    </xf>
    <xf numFmtId="0" fontId="28" fillId="12" borderId="1" xfId="0" applyFont="1" applyFill="1" applyBorder="1"/>
    <xf numFmtId="0" fontId="28" fillId="12" borderId="3" xfId="0" applyFont="1" applyFill="1" applyBorder="1"/>
    <xf numFmtId="4" fontId="32" fillId="12" borderId="1" xfId="2" applyNumberFormat="1" applyFont="1" applyFill="1" applyBorder="1" applyAlignment="1" applyProtection="1">
      <alignment vertical="center"/>
    </xf>
    <xf numFmtId="4" fontId="32" fillId="12" borderId="3" xfId="2" applyNumberFormat="1" applyFont="1" applyFill="1" applyBorder="1" applyAlignment="1" applyProtection="1">
      <alignment vertical="center"/>
    </xf>
    <xf numFmtId="4" fontId="32" fillId="12" borderId="0" xfId="2" applyNumberFormat="1" applyFont="1" applyFill="1" applyBorder="1" applyAlignment="1" applyProtection="1">
      <alignment vertical="center"/>
    </xf>
    <xf numFmtId="3" fontId="32" fillId="12" borderId="3" xfId="2" applyNumberFormat="1" applyFont="1" applyFill="1" applyBorder="1" applyAlignment="1" applyProtection="1">
      <alignment vertical="center"/>
    </xf>
    <xf numFmtId="3" fontId="32" fillId="12" borderId="0" xfId="2" applyNumberFormat="1" applyFont="1" applyFill="1" applyBorder="1" applyAlignment="1" applyProtection="1">
      <alignment vertical="center"/>
    </xf>
    <xf numFmtId="0" fontId="30" fillId="12" borderId="0" xfId="0" applyFont="1" applyFill="1"/>
    <xf numFmtId="0" fontId="29" fillId="12" borderId="0" xfId="2" applyFont="1" applyFill="1" applyBorder="1" applyAlignment="1" applyProtection="1">
      <alignment horizontal="left" vertical="center"/>
    </xf>
    <xf numFmtId="10" fontId="29" fillId="12" borderId="0" xfId="2" applyNumberFormat="1" applyFont="1" applyFill="1" applyBorder="1" applyAlignment="1" applyProtection="1">
      <alignment horizontal="center" vertical="center"/>
    </xf>
    <xf numFmtId="4" fontId="28" fillId="12" borderId="0" xfId="0" applyNumberFormat="1" applyFont="1" applyFill="1"/>
    <xf numFmtId="0" fontId="0" fillId="12" borderId="3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2" fillId="12" borderId="0" xfId="0" applyFont="1" applyFill="1"/>
    <xf numFmtId="0" fontId="22" fillId="12" borderId="1" xfId="0" applyFont="1" applyFill="1" applyBorder="1"/>
    <xf numFmtId="0" fontId="22" fillId="12" borderId="1" xfId="0" applyFont="1" applyFill="1" applyBorder="1" applyAlignment="1">
      <alignment horizontal="center"/>
    </xf>
    <xf numFmtId="0" fontId="0" fillId="12" borderId="1" xfId="0" applyFill="1" applyBorder="1"/>
    <xf numFmtId="2" fontId="0" fillId="12" borderId="1" xfId="0" applyNumberFormat="1" applyFill="1" applyBorder="1"/>
    <xf numFmtId="0" fontId="24" fillId="12" borderId="1" xfId="0" applyFont="1" applyFill="1" applyBorder="1"/>
    <xf numFmtId="0" fontId="0" fillId="12" borderId="1" xfId="0" applyFill="1" applyBorder="1" applyAlignment="1">
      <alignment horizontal="center"/>
    </xf>
    <xf numFmtId="0" fontId="24" fillId="12" borderId="0" xfId="0" applyFont="1" applyFill="1"/>
    <xf numFmtId="0" fontId="24" fillId="12" borderId="1" xfId="0" applyFont="1" applyFill="1" applyBorder="1" applyAlignment="1">
      <alignment horizontal="center"/>
    </xf>
    <xf numFmtId="0" fontId="22" fillId="12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2" fontId="0" fillId="12" borderId="0" xfId="0" applyNumberFormat="1" applyFill="1"/>
    <xf numFmtId="0" fontId="0" fillId="12" borderId="0" xfId="0" applyFill="1" applyAlignment="1">
      <alignment horizontal="right"/>
    </xf>
    <xf numFmtId="0" fontId="2" fillId="12" borderId="0" xfId="0" applyFont="1" applyFill="1" applyAlignment="1">
      <alignment horizontal="right"/>
    </xf>
    <xf numFmtId="2" fontId="2" fillId="12" borderId="0" xfId="0" applyNumberFormat="1" applyFont="1" applyFill="1"/>
    <xf numFmtId="1" fontId="0" fillId="12" borderId="1" xfId="0" applyNumberFormat="1" applyFill="1" applyBorder="1"/>
    <xf numFmtId="0" fontId="0" fillId="12" borderId="1" xfId="0" applyFont="1" applyFill="1" applyBorder="1" applyAlignment="1">
      <alignment horizontal="center"/>
    </xf>
    <xf numFmtId="0" fontId="0" fillId="11" borderId="2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27" fillId="11" borderId="0" xfId="0" applyFont="1" applyFill="1" applyAlignment="1">
      <alignment horizontal="center" wrapText="1"/>
    </xf>
    <xf numFmtId="49" fontId="27" fillId="11" borderId="0" xfId="0" applyNumberFormat="1" applyFont="1" applyFill="1" applyAlignment="1">
      <alignment horizontal="center"/>
    </xf>
    <xf numFmtId="2" fontId="0" fillId="11" borderId="0" xfId="0" applyNumberFormat="1" applyFill="1" applyAlignment="1">
      <alignment horizontal="center"/>
    </xf>
    <xf numFmtId="0" fontId="27" fillId="11" borderId="0" xfId="0" applyFont="1" applyFill="1"/>
    <xf numFmtId="172" fontId="0" fillId="0" borderId="9" xfId="0" applyNumberFormat="1" applyFill="1" applyBorder="1"/>
    <xf numFmtId="0" fontId="0" fillId="0" borderId="0" xfId="0" applyFont="1" applyAlignment="1">
      <alignment wrapText="1"/>
    </xf>
    <xf numFmtId="0" fontId="2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3" fillId="5" borderId="10" xfId="0" applyNumberFormat="1" applyFont="1" applyFill="1" applyBorder="1" applyAlignment="1">
      <alignment horizontal="center" wrapText="1"/>
    </xf>
    <xf numFmtId="0" fontId="3" fillId="5" borderId="9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27" fillId="11" borderId="1" xfId="0" applyFont="1" applyFill="1" applyBorder="1" applyAlignment="1">
      <alignment horizontal="center"/>
    </xf>
    <xf numFmtId="0" fontId="34" fillId="12" borderId="10" xfId="0" applyFont="1" applyFill="1" applyBorder="1" applyAlignment="1">
      <alignment horizontal="left"/>
    </xf>
    <xf numFmtId="0" fontId="34" fillId="12" borderId="1" xfId="0" applyFont="1" applyFill="1" applyBorder="1" applyAlignment="1">
      <alignment horizontal="left"/>
    </xf>
    <xf numFmtId="0" fontId="34" fillId="12" borderId="9" xfId="0" applyFont="1" applyFill="1" applyBorder="1" applyAlignment="1">
      <alignment horizontal="left"/>
    </xf>
    <xf numFmtId="0" fontId="28" fillId="12" borderId="10" xfId="0" applyFont="1" applyFill="1" applyBorder="1" applyAlignment="1">
      <alignment horizontal="left" vertical="center" indent="3"/>
    </xf>
    <xf numFmtId="0" fontId="28" fillId="12" borderId="1" xfId="0" applyFont="1" applyFill="1" applyBorder="1" applyAlignment="1">
      <alignment horizontal="left" vertical="center" indent="3"/>
    </xf>
    <xf numFmtId="0" fontId="28" fillId="12" borderId="9" xfId="0" applyFont="1" applyFill="1" applyBorder="1" applyAlignment="1">
      <alignment horizontal="left" vertical="center" indent="3"/>
    </xf>
    <xf numFmtId="0" fontId="28" fillId="12" borderId="15" xfId="0" applyFont="1" applyFill="1" applyBorder="1" applyAlignment="1">
      <alignment horizontal="left" vertical="center"/>
    </xf>
    <xf numFmtId="0" fontId="28" fillId="12" borderId="14" xfId="0" applyFont="1" applyFill="1" applyBorder="1" applyAlignment="1">
      <alignment horizontal="left" vertical="center"/>
    </xf>
    <xf numFmtId="0" fontId="28" fillId="12" borderId="13" xfId="0" applyFont="1" applyFill="1" applyBorder="1" applyAlignment="1">
      <alignment horizontal="left" vertical="center"/>
    </xf>
    <xf numFmtId="0" fontId="28" fillId="12" borderId="12" xfId="0" applyFont="1" applyFill="1" applyBorder="1" applyAlignment="1">
      <alignment horizontal="left" vertical="center"/>
    </xf>
    <xf numFmtId="0" fontId="28" fillId="12" borderId="11" xfId="0" applyFont="1" applyFill="1" applyBorder="1" applyAlignment="1">
      <alignment horizontal="left" vertical="center"/>
    </xf>
    <xf numFmtId="0" fontId="28" fillId="12" borderId="33" xfId="0" applyFont="1" applyFill="1" applyBorder="1" applyAlignment="1">
      <alignment horizontal="left" vertical="center"/>
    </xf>
    <xf numFmtId="0" fontId="28" fillId="12" borderId="10" xfId="0" applyFont="1" applyFill="1" applyBorder="1" applyAlignment="1">
      <alignment horizontal="left"/>
    </xf>
    <xf numFmtId="0" fontId="28" fillId="12" borderId="1" xfId="0" applyFont="1" applyFill="1" applyBorder="1" applyAlignment="1">
      <alignment horizontal="left"/>
    </xf>
    <xf numFmtId="0" fontId="28" fillId="12" borderId="9" xfId="0" applyFont="1" applyFill="1" applyBorder="1" applyAlignment="1">
      <alignment horizontal="left"/>
    </xf>
    <xf numFmtId="0" fontId="28" fillId="12" borderId="8" xfId="0" applyFont="1" applyFill="1" applyBorder="1" applyAlignment="1">
      <alignment horizontal="left" vertical="center"/>
    </xf>
    <xf numFmtId="0" fontId="28" fillId="12" borderId="7" xfId="0" applyFont="1" applyFill="1" applyBorder="1" applyAlignment="1">
      <alignment horizontal="left" vertical="center"/>
    </xf>
    <xf numFmtId="0" fontId="28" fillId="12" borderId="6" xfId="0" applyFont="1" applyFill="1" applyBorder="1" applyAlignment="1">
      <alignment horizontal="left" vertical="center"/>
    </xf>
    <xf numFmtId="0" fontId="28" fillId="12" borderId="15" xfId="0" applyFont="1" applyFill="1" applyBorder="1" applyAlignment="1">
      <alignment horizontal="left" vertical="center" indent="2"/>
    </xf>
    <xf numFmtId="0" fontId="28" fillId="12" borderId="14" xfId="0" applyFont="1" applyFill="1" applyBorder="1" applyAlignment="1">
      <alignment horizontal="left" vertical="center" indent="2"/>
    </xf>
    <xf numFmtId="0" fontId="28" fillId="12" borderId="13" xfId="0" applyFont="1" applyFill="1" applyBorder="1" applyAlignment="1">
      <alignment horizontal="left" vertical="center" indent="2"/>
    </xf>
    <xf numFmtId="0" fontId="28" fillId="12" borderId="8" xfId="0" applyFont="1" applyFill="1" applyBorder="1" applyAlignment="1">
      <alignment horizontal="left" vertical="center" indent="2"/>
    </xf>
    <xf numFmtId="0" fontId="28" fillId="12" borderId="7" xfId="0" applyFont="1" applyFill="1" applyBorder="1" applyAlignment="1">
      <alignment horizontal="left" vertical="center" indent="2"/>
    </xf>
    <xf numFmtId="0" fontId="28" fillId="12" borderId="6" xfId="0" applyFont="1" applyFill="1" applyBorder="1" applyAlignment="1">
      <alignment horizontal="left" vertical="center" indent="2"/>
    </xf>
    <xf numFmtId="0" fontId="34" fillId="12" borderId="37" xfId="0" applyFont="1" applyFill="1" applyBorder="1" applyAlignment="1">
      <alignment horizontal="left"/>
    </xf>
    <xf numFmtId="0" fontId="34" fillId="12" borderId="35" xfId="0" applyFont="1" applyFill="1" applyBorder="1" applyAlignment="1">
      <alignment horizontal="left"/>
    </xf>
    <xf numFmtId="0" fontId="34" fillId="12" borderId="34" xfId="0" applyFont="1" applyFill="1" applyBorder="1" applyAlignment="1">
      <alignment horizontal="left"/>
    </xf>
    <xf numFmtId="0" fontId="37" fillId="12" borderId="47" xfId="0" applyFont="1" applyFill="1" applyBorder="1" applyAlignment="1">
      <alignment horizontal="center" vertical="center"/>
    </xf>
    <xf numFmtId="0" fontId="37" fillId="12" borderId="46" xfId="0" applyFont="1" applyFill="1" applyBorder="1" applyAlignment="1">
      <alignment horizontal="center" vertical="center"/>
    </xf>
    <xf numFmtId="0" fontId="37" fillId="12" borderId="45" xfId="0" applyFont="1" applyFill="1" applyBorder="1" applyAlignment="1">
      <alignment horizontal="center" vertical="center"/>
    </xf>
    <xf numFmtId="0" fontId="37" fillId="12" borderId="22" xfId="0" applyFont="1" applyFill="1" applyBorder="1" applyAlignment="1">
      <alignment horizontal="center" vertical="center"/>
    </xf>
    <xf numFmtId="0" fontId="37" fillId="12" borderId="21" xfId="0" applyFont="1" applyFill="1" applyBorder="1" applyAlignment="1">
      <alignment horizontal="center" vertical="center"/>
    </xf>
    <xf numFmtId="0" fontId="37" fillId="12" borderId="20" xfId="0" applyFont="1" applyFill="1" applyBorder="1" applyAlignment="1">
      <alignment horizontal="center" vertical="center"/>
    </xf>
    <xf numFmtId="0" fontId="28" fillId="12" borderId="44" xfId="0" applyFont="1" applyFill="1" applyBorder="1" applyAlignment="1">
      <alignment horizontal="left" vertical="center"/>
    </xf>
    <xf numFmtId="0" fontId="28" fillId="12" borderId="43" xfId="0" applyFont="1" applyFill="1" applyBorder="1" applyAlignment="1">
      <alignment horizontal="left" vertical="center"/>
    </xf>
    <xf numFmtId="0" fontId="28" fillId="12" borderId="42" xfId="0" applyFont="1" applyFill="1" applyBorder="1" applyAlignment="1">
      <alignment horizontal="left" vertical="center"/>
    </xf>
    <xf numFmtId="3" fontId="36" fillId="12" borderId="41" xfId="0" applyNumberFormat="1" applyFont="1" applyFill="1" applyBorder="1" applyAlignment="1">
      <alignment horizontal="center" vertical="center"/>
    </xf>
    <xf numFmtId="3" fontId="36" fillId="12" borderId="40" xfId="0" applyNumberFormat="1" applyFont="1" applyFill="1" applyBorder="1" applyAlignment="1">
      <alignment horizontal="center" vertical="center"/>
    </xf>
    <xf numFmtId="4" fontId="36" fillId="12" borderId="41" xfId="0" applyNumberFormat="1" applyFont="1" applyFill="1" applyBorder="1" applyAlignment="1">
      <alignment horizontal="center" vertical="center"/>
    </xf>
    <xf numFmtId="4" fontId="36" fillId="12" borderId="40" xfId="0" applyNumberFormat="1" applyFont="1" applyFill="1" applyBorder="1" applyAlignment="1">
      <alignment horizontal="center" vertical="center"/>
    </xf>
    <xf numFmtId="0" fontId="28" fillId="12" borderId="8" xfId="0" applyFont="1" applyFill="1" applyBorder="1" applyAlignment="1">
      <alignment horizontal="left"/>
    </xf>
    <xf numFmtId="0" fontId="28" fillId="12" borderId="7" xfId="0" applyFont="1" applyFill="1" applyBorder="1" applyAlignment="1">
      <alignment horizontal="left"/>
    </xf>
    <xf numFmtId="167" fontId="36" fillId="12" borderId="7" xfId="0" applyNumberFormat="1" applyFont="1" applyFill="1" applyBorder="1" applyAlignment="1">
      <alignment horizontal="center" vertical="center"/>
    </xf>
    <xf numFmtId="167" fontId="36" fillId="12" borderId="6" xfId="0" applyNumberFormat="1" applyFont="1" applyFill="1" applyBorder="1" applyAlignment="1">
      <alignment horizontal="center" vertical="center"/>
    </xf>
    <xf numFmtId="0" fontId="28" fillId="12" borderId="39" xfId="0" applyFont="1" applyFill="1" applyBorder="1" applyAlignment="1">
      <alignment horizontal="left"/>
    </xf>
    <xf numFmtId="0" fontId="28" fillId="12" borderId="38" xfId="0" applyFont="1" applyFill="1" applyBorder="1" applyAlignment="1">
      <alignment horizontal="left"/>
    </xf>
    <xf numFmtId="0" fontId="28" fillId="12" borderId="19" xfId="0" applyFont="1" applyFill="1" applyBorder="1" applyAlignment="1">
      <alignment horizontal="left"/>
    </xf>
    <xf numFmtId="168" fontId="36" fillId="12" borderId="7" xfId="0" applyNumberFormat="1" applyFont="1" applyFill="1" applyBorder="1" applyAlignment="1">
      <alignment horizontal="center" vertical="center"/>
    </xf>
    <xf numFmtId="168" fontId="36" fillId="12" borderId="6" xfId="0" applyNumberFormat="1" applyFont="1" applyFill="1" applyBorder="1" applyAlignment="1">
      <alignment horizontal="center" vertical="center"/>
    </xf>
    <xf numFmtId="0" fontId="28" fillId="12" borderId="10" xfId="0" applyFont="1" applyFill="1" applyBorder="1" applyAlignment="1">
      <alignment horizontal="left" vertical="center" wrapText="1" indent="3"/>
    </xf>
    <xf numFmtId="0" fontId="28" fillId="12" borderId="1" xfId="0" applyFont="1" applyFill="1" applyBorder="1" applyAlignment="1">
      <alignment horizontal="left" vertical="center" wrapText="1" indent="3"/>
    </xf>
    <xf numFmtId="0" fontId="28" fillId="12" borderId="9" xfId="0" applyFont="1" applyFill="1" applyBorder="1" applyAlignment="1">
      <alignment horizontal="left" vertical="center" wrapText="1" indent="3"/>
    </xf>
    <xf numFmtId="3" fontId="28" fillId="12" borderId="2" xfId="0" applyNumberFormat="1" applyFont="1" applyFill="1" applyBorder="1" applyAlignment="1">
      <alignment horizontal="right" vertical="center"/>
    </xf>
    <xf numFmtId="3" fontId="28" fillId="12" borderId="1" xfId="0" applyNumberFormat="1" applyFont="1" applyFill="1" applyBorder="1" applyAlignment="1">
      <alignment horizontal="right" vertical="center"/>
    </xf>
    <xf numFmtId="0" fontId="34" fillId="12" borderId="29" xfId="0" applyFont="1" applyFill="1" applyBorder="1" applyAlignment="1">
      <alignment horizontal="left" vertical="center" wrapText="1"/>
    </xf>
    <xf numFmtId="0" fontId="34" fillId="12" borderId="28" xfId="0" applyFont="1" applyFill="1" applyBorder="1" applyAlignment="1">
      <alignment horizontal="left" vertical="center" wrapText="1"/>
    </xf>
    <xf numFmtId="0" fontId="34" fillId="12" borderId="27" xfId="0" applyFont="1" applyFill="1" applyBorder="1" applyAlignment="1">
      <alignment horizontal="left" vertical="center" wrapText="1"/>
    </xf>
    <xf numFmtId="0" fontId="34" fillId="12" borderId="26" xfId="0" applyFont="1" applyFill="1" applyBorder="1" applyAlignment="1">
      <alignment horizontal="left" vertical="center" wrapText="1"/>
    </xf>
    <xf numFmtId="0" fontId="34" fillId="12" borderId="0" xfId="0" applyFont="1" applyFill="1" applyBorder="1" applyAlignment="1">
      <alignment horizontal="left" vertical="center" wrapText="1"/>
    </xf>
    <xf numFmtId="0" fontId="34" fillId="12" borderId="25" xfId="0" applyFont="1" applyFill="1" applyBorder="1" applyAlignment="1">
      <alignment horizontal="left" vertical="center" wrapText="1"/>
    </xf>
    <xf numFmtId="0" fontId="34" fillId="12" borderId="32" xfId="0" applyFont="1" applyFill="1" applyBorder="1" applyAlignment="1">
      <alignment horizontal="left" vertical="center" wrapText="1"/>
    </xf>
    <xf numFmtId="0" fontId="34" fillId="12" borderId="31" xfId="0" applyFont="1" applyFill="1" applyBorder="1" applyAlignment="1">
      <alignment horizontal="left" vertical="center" wrapText="1"/>
    </xf>
    <xf numFmtId="0" fontId="34" fillId="12" borderId="30" xfId="0" applyFont="1" applyFill="1" applyBorder="1" applyAlignment="1">
      <alignment horizontal="left" vertical="center" wrapText="1"/>
    </xf>
    <xf numFmtId="3" fontId="34" fillId="12" borderId="2" xfId="0" applyNumberFormat="1" applyFont="1" applyFill="1" applyBorder="1" applyAlignment="1">
      <alignment horizontal="left" vertical="center"/>
    </xf>
    <xf numFmtId="3" fontId="34" fillId="12" borderId="4" xfId="0" applyNumberFormat="1" applyFont="1" applyFill="1" applyBorder="1" applyAlignment="1">
      <alignment horizontal="left" vertical="center"/>
    </xf>
    <xf numFmtId="3" fontId="34" fillId="12" borderId="5" xfId="0" applyNumberFormat="1" applyFont="1" applyFill="1" applyBorder="1" applyAlignment="1">
      <alignment horizontal="left" vertical="center"/>
    </xf>
    <xf numFmtId="3" fontId="34" fillId="12" borderId="35" xfId="0" applyNumberFormat="1" applyFont="1" applyFill="1" applyBorder="1" applyAlignment="1">
      <alignment horizontal="left" vertical="center"/>
    </xf>
    <xf numFmtId="3" fontId="28" fillId="12" borderId="4" xfId="0" applyNumberFormat="1" applyFont="1" applyFill="1" applyBorder="1" applyAlignment="1">
      <alignment horizontal="right" vertical="center"/>
    </xf>
    <xf numFmtId="3" fontId="28" fillId="12" borderId="5" xfId="0" applyNumberFormat="1" applyFont="1" applyFill="1" applyBorder="1" applyAlignment="1">
      <alignment horizontal="right" vertical="center"/>
    </xf>
    <xf numFmtId="3" fontId="28" fillId="12" borderId="35" xfId="0" applyNumberFormat="1" applyFont="1" applyFill="1" applyBorder="1" applyAlignment="1">
      <alignment horizontal="right" vertical="center"/>
    </xf>
    <xf numFmtId="3" fontId="28" fillId="12" borderId="0" xfId="0" applyNumberFormat="1" applyFont="1" applyFill="1" applyBorder="1" applyAlignment="1">
      <alignment horizontal="right" vertical="center"/>
    </xf>
    <xf numFmtId="3" fontId="28" fillId="12" borderId="23" xfId="0" applyNumberFormat="1" applyFont="1" applyFill="1" applyBorder="1" applyAlignment="1">
      <alignment horizontal="right" vertical="center"/>
    </xf>
    <xf numFmtId="3" fontId="28" fillId="12" borderId="36" xfId="0" applyNumberFormat="1" applyFont="1" applyFill="1" applyBorder="1" applyAlignment="1">
      <alignment horizontal="right" vertical="center"/>
    </xf>
    <xf numFmtId="3" fontId="28" fillId="12" borderId="34" xfId="0" applyNumberFormat="1" applyFont="1" applyFill="1" applyBorder="1" applyAlignment="1">
      <alignment horizontal="right" vertical="center"/>
    </xf>
    <xf numFmtId="3" fontId="34" fillId="12" borderId="0" xfId="0" applyNumberFormat="1" applyFont="1" applyFill="1" applyBorder="1" applyAlignment="1">
      <alignment horizontal="left" vertical="center"/>
    </xf>
    <xf numFmtId="3" fontId="34" fillId="12" borderId="2" xfId="0" applyNumberFormat="1" applyFont="1" applyFill="1" applyBorder="1" applyAlignment="1">
      <alignment horizontal="right" vertical="center"/>
    </xf>
    <xf numFmtId="3" fontId="34" fillId="12" borderId="1" xfId="0" applyNumberFormat="1" applyFont="1" applyFill="1" applyBorder="1" applyAlignment="1">
      <alignment horizontal="right" vertical="center"/>
    </xf>
    <xf numFmtId="3" fontId="34" fillId="12" borderId="4" xfId="0" applyNumberFormat="1" applyFont="1" applyFill="1" applyBorder="1" applyAlignment="1">
      <alignment horizontal="right" vertical="center"/>
    </xf>
    <xf numFmtId="3" fontId="34" fillId="12" borderId="5" xfId="0" applyNumberFormat="1" applyFont="1" applyFill="1" applyBorder="1" applyAlignment="1">
      <alignment horizontal="right" vertical="center"/>
    </xf>
    <xf numFmtId="3" fontId="34" fillId="12" borderId="35" xfId="0" applyNumberFormat="1" applyFont="1" applyFill="1" applyBorder="1" applyAlignment="1">
      <alignment horizontal="right" vertical="center"/>
    </xf>
    <xf numFmtId="3" fontId="34" fillId="12" borderId="23" xfId="0" applyNumberFormat="1" applyFont="1" applyFill="1" applyBorder="1" applyAlignment="1">
      <alignment horizontal="left" vertical="center"/>
    </xf>
    <xf numFmtId="3" fontId="34" fillId="12" borderId="36" xfId="0" applyNumberFormat="1" applyFont="1" applyFill="1" applyBorder="1" applyAlignment="1">
      <alignment horizontal="left" vertical="center"/>
    </xf>
    <xf numFmtId="3" fontId="34" fillId="12" borderId="34" xfId="0" applyNumberFormat="1" applyFont="1" applyFill="1" applyBorder="1" applyAlignment="1">
      <alignment horizontal="left" vertical="center"/>
    </xf>
    <xf numFmtId="3" fontId="34" fillId="12" borderId="0" xfId="0" applyNumberFormat="1" applyFont="1" applyFill="1" applyBorder="1" applyAlignment="1">
      <alignment horizontal="right" vertical="center"/>
    </xf>
    <xf numFmtId="3" fontId="34" fillId="12" borderId="23" xfId="0" applyNumberFormat="1" applyFont="1" applyFill="1" applyBorder="1" applyAlignment="1">
      <alignment horizontal="right" vertical="center"/>
    </xf>
    <xf numFmtId="3" fontId="34" fillId="12" borderId="36" xfId="0" applyNumberFormat="1" applyFont="1" applyFill="1" applyBorder="1" applyAlignment="1">
      <alignment horizontal="right" vertical="center"/>
    </xf>
    <xf numFmtId="3" fontId="34" fillId="12" borderId="34" xfId="0" applyNumberFormat="1" applyFont="1" applyFill="1" applyBorder="1" applyAlignment="1">
      <alignment horizontal="right" vertical="center"/>
    </xf>
    <xf numFmtId="0" fontId="28" fillId="12" borderId="12" xfId="0" applyFont="1" applyFill="1" applyBorder="1" applyAlignment="1">
      <alignment horizontal="left" vertical="center" indent="2"/>
    </xf>
    <xf numFmtId="0" fontId="28" fillId="12" borderId="11" xfId="0" applyFont="1" applyFill="1" applyBorder="1" applyAlignment="1">
      <alignment horizontal="left" vertical="center" indent="2"/>
    </xf>
    <xf numFmtId="0" fontId="28" fillId="12" borderId="33" xfId="0" applyFont="1" applyFill="1" applyBorder="1" applyAlignment="1">
      <alignment horizontal="left" vertical="center" indent="2"/>
    </xf>
    <xf numFmtId="3" fontId="34" fillId="12" borderId="28" xfId="0" applyNumberFormat="1" applyFont="1" applyFill="1" applyBorder="1" applyAlignment="1">
      <alignment horizontal="right" vertical="center"/>
    </xf>
    <xf numFmtId="3" fontId="34" fillId="12" borderId="31" xfId="0" applyNumberFormat="1" applyFont="1" applyFill="1" applyBorder="1" applyAlignment="1">
      <alignment horizontal="right" vertical="center"/>
    </xf>
    <xf numFmtId="0" fontId="34" fillId="12" borderId="12" xfId="0" applyFont="1" applyFill="1" applyBorder="1" applyAlignment="1">
      <alignment horizontal="left" vertical="center"/>
    </xf>
    <xf numFmtId="0" fontId="34" fillId="12" borderId="11" xfId="0" applyFont="1" applyFill="1" applyBorder="1" applyAlignment="1">
      <alignment horizontal="left" vertical="center"/>
    </xf>
    <xf numFmtId="0" fontId="34" fillId="12" borderId="33" xfId="0" applyFont="1" applyFill="1" applyBorder="1" applyAlignment="1">
      <alignment horizontal="left" vertical="center"/>
    </xf>
    <xf numFmtId="0" fontId="28" fillId="12" borderId="29" xfId="0" applyFont="1" applyFill="1" applyBorder="1" applyAlignment="1">
      <alignment horizontal="left" vertical="center" wrapText="1" indent="2"/>
    </xf>
    <xf numFmtId="0" fontId="28" fillId="12" borderId="28" xfId="0" applyFont="1" applyFill="1" applyBorder="1" applyAlignment="1">
      <alignment horizontal="left" vertical="center" wrapText="1" indent="2"/>
    </xf>
    <xf numFmtId="0" fontId="28" fillId="12" borderId="27" xfId="0" applyFont="1" applyFill="1" applyBorder="1" applyAlignment="1">
      <alignment horizontal="left" vertical="center" wrapText="1" indent="2"/>
    </xf>
    <xf numFmtId="0" fontId="28" fillId="12" borderId="32" xfId="0" applyFont="1" applyFill="1" applyBorder="1" applyAlignment="1">
      <alignment horizontal="left" vertical="center" wrapText="1" indent="2"/>
    </xf>
    <xf numFmtId="0" fontId="28" fillId="12" borderId="31" xfId="0" applyFont="1" applyFill="1" applyBorder="1" applyAlignment="1">
      <alignment horizontal="left" vertical="center" wrapText="1" indent="2"/>
    </xf>
    <xf numFmtId="0" fontId="28" fillId="12" borderId="30" xfId="0" applyFont="1" applyFill="1" applyBorder="1" applyAlignment="1">
      <alignment horizontal="left" vertical="center" wrapText="1" indent="2"/>
    </xf>
    <xf numFmtId="0" fontId="34" fillId="12" borderId="22" xfId="0" applyFont="1" applyFill="1" applyBorder="1" applyAlignment="1">
      <alignment horizontal="left" vertical="center" wrapText="1"/>
    </xf>
    <xf numFmtId="0" fontId="34" fillId="12" borderId="21" xfId="0" applyFont="1" applyFill="1" applyBorder="1" applyAlignment="1">
      <alignment horizontal="left" vertical="center" wrapText="1"/>
    </xf>
    <xf numFmtId="0" fontId="34" fillId="12" borderId="20" xfId="0" applyFont="1" applyFill="1" applyBorder="1" applyAlignment="1">
      <alignment horizontal="left" vertical="center" wrapText="1"/>
    </xf>
    <xf numFmtId="3" fontId="34" fillId="12" borderId="24" xfId="0" applyNumberFormat="1" applyFont="1" applyFill="1" applyBorder="1" applyAlignment="1">
      <alignment horizontal="right" vertical="center"/>
    </xf>
    <xf numFmtId="3" fontId="34" fillId="12" borderId="19" xfId="0" applyNumberFormat="1" applyFont="1" applyFill="1" applyBorder="1" applyAlignment="1">
      <alignment horizontal="right" vertical="center"/>
    </xf>
    <xf numFmtId="3" fontId="34" fillId="12" borderId="7" xfId="0" applyNumberFormat="1" applyFont="1" applyFill="1" applyBorder="1" applyAlignment="1">
      <alignment horizontal="right" vertical="center"/>
    </xf>
    <xf numFmtId="3" fontId="28" fillId="12" borderId="9" xfId="0" applyNumberFormat="1" applyFont="1" applyFill="1" applyBorder="1" applyAlignment="1">
      <alignment horizontal="right" vertical="center"/>
    </xf>
    <xf numFmtId="3" fontId="34" fillId="12" borderId="9" xfId="0" applyNumberFormat="1" applyFont="1" applyFill="1" applyBorder="1" applyAlignment="1">
      <alignment horizontal="right" vertical="center"/>
    </xf>
    <xf numFmtId="3" fontId="34" fillId="12" borderId="6" xfId="0" applyNumberFormat="1" applyFont="1" applyFill="1" applyBorder="1" applyAlignment="1">
      <alignment horizontal="right" vertical="center"/>
    </xf>
    <xf numFmtId="0" fontId="29" fillId="12" borderId="10" xfId="2" applyFont="1" applyFill="1" applyBorder="1" applyAlignment="1" applyProtection="1">
      <alignment horizontal="left" vertical="center"/>
    </xf>
    <xf numFmtId="0" fontId="29" fillId="12" borderId="1" xfId="2" applyFont="1" applyFill="1" applyBorder="1" applyAlignment="1" applyProtection="1">
      <alignment horizontal="left" vertical="center"/>
    </xf>
    <xf numFmtId="4" fontId="29" fillId="12" borderId="1" xfId="2" applyNumberFormat="1" applyFont="1" applyFill="1" applyBorder="1" applyAlignment="1" applyProtection="1">
      <alignment horizontal="center" vertical="center"/>
    </xf>
    <xf numFmtId="4" fontId="29" fillId="12" borderId="9" xfId="2" applyNumberFormat="1" applyFont="1" applyFill="1" applyBorder="1" applyAlignment="1" applyProtection="1">
      <alignment horizontal="center" vertical="center"/>
    </xf>
    <xf numFmtId="0" fontId="29" fillId="12" borderId="8" xfId="2" applyFont="1" applyFill="1" applyBorder="1" applyAlignment="1" applyProtection="1">
      <alignment horizontal="left" vertical="center"/>
    </xf>
    <xf numFmtId="0" fontId="29" fillId="12" borderId="7" xfId="2" applyFont="1" applyFill="1" applyBorder="1" applyAlignment="1" applyProtection="1">
      <alignment horizontal="left" vertical="center"/>
    </xf>
    <xf numFmtId="10" fontId="29" fillId="12" borderId="7" xfId="2" applyNumberFormat="1" applyFont="1" applyFill="1" applyBorder="1" applyAlignment="1" applyProtection="1">
      <alignment horizontal="center" vertical="center"/>
    </xf>
    <xf numFmtId="10" fontId="29" fillId="12" borderId="6" xfId="2" applyNumberFormat="1" applyFont="1" applyFill="1" applyBorder="1" applyAlignment="1" applyProtection="1">
      <alignment horizontal="center" vertical="center"/>
    </xf>
    <xf numFmtId="0" fontId="32" fillId="12" borderId="1" xfId="2" applyFont="1" applyFill="1" applyBorder="1" applyAlignment="1" applyProtection="1">
      <alignment horizontal="left" vertical="center"/>
    </xf>
    <xf numFmtId="0" fontId="31" fillId="12" borderId="18" xfId="2" applyFont="1" applyFill="1" applyBorder="1" applyAlignment="1" applyProtection="1">
      <alignment horizontal="center" vertical="center"/>
    </xf>
    <xf numFmtId="0" fontId="31" fillId="12" borderId="17" xfId="2" applyFont="1" applyFill="1" applyBorder="1" applyAlignment="1" applyProtection="1">
      <alignment horizontal="center" vertical="center"/>
    </xf>
    <xf numFmtId="0" fontId="31" fillId="12" borderId="16" xfId="2" applyFont="1" applyFill="1" applyBorder="1" applyAlignment="1" applyProtection="1">
      <alignment horizontal="center" vertical="center"/>
    </xf>
    <xf numFmtId="0" fontId="29" fillId="12" borderId="15" xfId="2" applyFont="1" applyFill="1" applyBorder="1" applyAlignment="1" applyProtection="1">
      <alignment horizontal="left" vertical="center"/>
    </xf>
    <xf numFmtId="0" fontId="29" fillId="12" borderId="14" xfId="2" applyFont="1" applyFill="1" applyBorder="1" applyAlignment="1" applyProtection="1">
      <alignment horizontal="left" vertical="center"/>
    </xf>
    <xf numFmtId="0" fontId="29" fillId="12" borderId="14" xfId="2" applyFont="1" applyFill="1" applyBorder="1" applyAlignment="1" applyProtection="1">
      <alignment horizontal="center" vertical="center"/>
    </xf>
    <xf numFmtId="0" fontId="29" fillId="12" borderId="13" xfId="2" applyFont="1" applyFill="1" applyBorder="1" applyAlignment="1" applyProtection="1">
      <alignment horizontal="center" vertical="center"/>
    </xf>
    <xf numFmtId="10" fontId="29" fillId="12" borderId="1" xfId="2" applyNumberFormat="1" applyFont="1" applyFill="1" applyBorder="1" applyAlignment="1" applyProtection="1">
      <alignment horizontal="center" vertical="center"/>
    </xf>
    <xf numFmtId="10" fontId="29" fillId="12" borderId="9" xfId="2" applyNumberFormat="1" applyFont="1" applyFill="1" applyBorder="1" applyAlignment="1" applyProtection="1">
      <alignment horizontal="center" vertical="center"/>
    </xf>
    <xf numFmtId="0" fontId="29" fillId="12" borderId="12" xfId="2" applyFont="1" applyFill="1" applyBorder="1" applyAlignment="1" applyProtection="1">
      <alignment horizontal="left" vertical="center"/>
    </xf>
    <xf numFmtId="0" fontId="29" fillId="12" borderId="11" xfId="2" applyFont="1" applyFill="1" applyBorder="1" applyAlignment="1" applyProtection="1">
      <alignment horizontal="left" vertical="center"/>
    </xf>
    <xf numFmtId="0" fontId="29" fillId="12" borderId="2" xfId="2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/>
    <xf numFmtId="0" fontId="0" fillId="0" borderId="5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0" fillId="2" borderId="10" xfId="0" applyFill="1" applyBorder="1" applyAlignment="1"/>
    <xf numFmtId="0" fontId="0" fillId="0" borderId="9" xfId="0" applyBorder="1" applyAlignment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2" borderId="9" xfId="0" applyFill="1" applyBorder="1" applyAlignment="1"/>
    <xf numFmtId="0" fontId="4" fillId="0" borderId="0" xfId="0" applyFont="1" applyAlignment="1" applyProtection="1">
      <alignment vertical="center"/>
      <protection locked="0" hidden="1"/>
    </xf>
    <xf numFmtId="0" fontId="4" fillId="6" borderId="1" xfId="0" applyFont="1" applyFill="1" applyBorder="1" applyAlignment="1" applyProtection="1">
      <alignment horizontal="center" vertical="center"/>
      <protection locked="0" hidden="1"/>
    </xf>
    <xf numFmtId="3" fontId="4" fillId="6" borderId="1" xfId="0" applyNumberFormat="1" applyFont="1" applyFill="1" applyBorder="1" applyAlignment="1" applyProtection="1">
      <alignment vertical="center"/>
      <protection locked="0" hidden="1"/>
    </xf>
    <xf numFmtId="0" fontId="4" fillId="6" borderId="1" xfId="0" applyFont="1" applyFill="1" applyBorder="1" applyAlignment="1" applyProtection="1">
      <alignment vertical="center"/>
      <protection locked="0" hidden="1"/>
    </xf>
    <xf numFmtId="3" fontId="14" fillId="0" borderId="1" xfId="0" applyNumberFormat="1" applyFont="1" applyBorder="1" applyAlignment="1" applyProtection="1">
      <alignment horizontal="center" vertical="center"/>
      <protection locked="0" hidden="1"/>
    </xf>
    <xf numFmtId="0" fontId="19" fillId="8" borderId="0" xfId="0" applyFont="1" applyFill="1" applyBorder="1" applyAlignment="1" applyProtection="1">
      <alignment horizontal="center" vertical="center" wrapText="1"/>
      <protection locked="0" hidden="1"/>
    </xf>
    <xf numFmtId="0" fontId="4" fillId="0" borderId="0" xfId="0" applyFont="1" applyFill="1" applyAlignment="1" applyProtection="1">
      <alignment vertical="center"/>
      <protection locked="0" hidden="1"/>
    </xf>
    <xf numFmtId="0" fontId="12" fillId="6" borderId="0" xfId="0" applyFont="1" applyFill="1" applyAlignment="1" applyProtection="1">
      <alignment vertical="center"/>
      <protection locked="0" hidden="1"/>
    </xf>
    <xf numFmtId="0" fontId="8" fillId="14" borderId="0" xfId="0" applyFont="1" applyFill="1" applyAlignment="1" applyProtection="1">
      <alignment horizontal="center" vertical="center" wrapText="1"/>
      <protection locked="0" hidden="1"/>
    </xf>
    <xf numFmtId="0" fontId="8" fillId="0" borderId="0" xfId="0" applyFont="1" applyAlignment="1" applyProtection="1">
      <alignment horizontal="center" vertical="center"/>
      <protection locked="0" hidden="1"/>
    </xf>
    <xf numFmtId="0" fontId="7" fillId="7" borderId="0" xfId="0" applyFont="1" applyFill="1" applyAlignment="1" applyProtection="1">
      <alignment horizontal="center" vertical="center"/>
      <protection locked="0" hidden="1"/>
    </xf>
    <xf numFmtId="0" fontId="8" fillId="0" borderId="1" xfId="0" applyFont="1" applyBorder="1" applyAlignment="1" applyProtection="1">
      <alignment vertical="center"/>
      <protection locked="0" hidden="1"/>
    </xf>
    <xf numFmtId="0" fontId="18" fillId="0" borderId="0" xfId="0" applyFont="1" applyFill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17" fillId="0" borderId="0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Border="1" applyAlignment="1" applyProtection="1">
      <alignment horizontal="center" vertical="center"/>
      <protection locked="0" hidden="1"/>
    </xf>
    <xf numFmtId="0" fontId="10" fillId="0" borderId="1" xfId="0" applyFont="1" applyBorder="1" applyAlignment="1" applyProtection="1">
      <alignment horizontal="center" vertical="center"/>
      <protection locked="0" hidden="1"/>
    </xf>
    <xf numFmtId="0" fontId="15" fillId="0" borderId="0" xfId="0" applyFont="1" applyFill="1" applyBorder="1" applyAlignment="1" applyProtection="1">
      <alignment vertical="center"/>
      <protection locked="0" hidden="1"/>
    </xf>
    <xf numFmtId="0" fontId="8" fillId="0" borderId="0" xfId="0" applyFont="1" applyBorder="1" applyAlignment="1" applyProtection="1">
      <alignment horizontal="center" vertical="center"/>
      <protection locked="0" hidden="1"/>
    </xf>
    <xf numFmtId="0" fontId="8" fillId="0" borderId="1" xfId="0" applyFont="1" applyBorder="1" applyAlignment="1" applyProtection="1">
      <alignment horizontal="center" vertical="center"/>
      <protection locked="0" hidden="1"/>
    </xf>
    <xf numFmtId="0" fontId="16" fillId="0" borderId="1" xfId="0" applyFont="1" applyBorder="1" applyAlignment="1" applyProtection="1">
      <alignment horizontal="center" vertical="center"/>
      <protection locked="0" hidden="1"/>
    </xf>
    <xf numFmtId="0" fontId="4" fillId="4" borderId="1" xfId="0" applyFont="1" applyFill="1" applyBorder="1" applyAlignment="1" applyProtection="1">
      <alignment vertical="center"/>
      <protection locked="0" hidden="1"/>
    </xf>
    <xf numFmtId="0" fontId="4" fillId="0" borderId="1" xfId="0" applyFont="1" applyBorder="1" applyAlignment="1" applyProtection="1">
      <alignment horizontal="center" vertical="center"/>
      <protection locked="0" hidden="1"/>
    </xf>
    <xf numFmtId="0" fontId="4" fillId="0" borderId="1" xfId="0" applyFont="1" applyBorder="1" applyAlignment="1" applyProtection="1">
      <alignment vertical="center"/>
      <protection locked="0" hidden="1"/>
    </xf>
    <xf numFmtId="0" fontId="9" fillId="3" borderId="0" xfId="0" applyFont="1" applyFill="1" applyAlignment="1" applyProtection="1">
      <alignment horizontal="center" vertical="center"/>
      <protection locked="0" hidden="1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3" fontId="8" fillId="0" borderId="0" xfId="0" applyNumberFormat="1" applyFont="1" applyAlignment="1" applyProtection="1">
      <alignment vertical="center"/>
      <protection locked="0" hidden="1"/>
    </xf>
    <xf numFmtId="0" fontId="10" fillId="0" borderId="1" xfId="0" applyFont="1" applyFill="1" applyBorder="1" applyAlignment="1" applyProtection="1">
      <alignment horizontal="right" vertical="center"/>
      <protection locked="0" hidden="1"/>
    </xf>
    <xf numFmtId="3" fontId="4" fillId="0" borderId="3" xfId="0" applyNumberFormat="1" applyFont="1" applyBorder="1" applyAlignment="1" applyProtection="1">
      <alignment vertical="center"/>
      <protection locked="0" hidden="1"/>
    </xf>
    <xf numFmtId="0" fontId="10" fillId="0" borderId="0" xfId="0" applyFont="1" applyAlignment="1" applyProtection="1">
      <alignment horizontal="center" vertical="center"/>
      <protection locked="0" hidden="1"/>
    </xf>
    <xf numFmtId="0" fontId="10" fillId="0" borderId="0" xfId="0" applyFont="1" applyAlignment="1" applyProtection="1">
      <alignment horizontal="left" vertical="center"/>
      <protection locked="0" hidden="1"/>
    </xf>
    <xf numFmtId="0" fontId="8" fillId="5" borderId="1" xfId="0" applyFont="1" applyFill="1" applyBorder="1" applyAlignment="1" applyProtection="1">
      <alignment vertical="center"/>
      <protection locked="0" hidden="1"/>
    </xf>
    <xf numFmtId="3" fontId="8" fillId="5" borderId="1" xfId="0" applyNumberFormat="1" applyFont="1" applyFill="1" applyBorder="1" applyAlignment="1" applyProtection="1">
      <alignment vertical="center"/>
      <protection locked="0" hidden="1"/>
    </xf>
    <xf numFmtId="3" fontId="8" fillId="0" borderId="1" xfId="0" applyNumberFormat="1" applyFont="1" applyBorder="1" applyAlignment="1" applyProtection="1">
      <alignment vertical="center"/>
      <protection locked="0" hidden="1"/>
    </xf>
    <xf numFmtId="3" fontId="4" fillId="0" borderId="0" xfId="0" applyNumberFormat="1" applyFont="1" applyAlignment="1" applyProtection="1">
      <alignment vertical="center"/>
      <protection locked="0" hidden="1"/>
    </xf>
    <xf numFmtId="3" fontId="4" fillId="0" borderId="1" xfId="0" applyNumberFormat="1" applyFont="1" applyFill="1" applyBorder="1" applyAlignment="1" applyProtection="1">
      <alignment vertical="center"/>
      <protection locked="0" hidden="1"/>
    </xf>
    <xf numFmtId="0" fontId="10" fillId="0" borderId="0" xfId="0" applyFont="1" applyFill="1" applyAlignment="1" applyProtection="1">
      <alignment horizontal="center" vertical="center"/>
      <protection locked="0" hidden="1"/>
    </xf>
    <xf numFmtId="0" fontId="4" fillId="0" borderId="1" xfId="0" applyFont="1" applyFill="1" applyBorder="1" applyAlignment="1" applyProtection="1">
      <alignment vertical="center"/>
      <protection locked="0" hidden="1"/>
    </xf>
    <xf numFmtId="9" fontId="0" fillId="0" borderId="0" xfId="0" applyNumberFormat="1" applyProtection="1">
      <protection locked="0" hidden="1"/>
    </xf>
    <xf numFmtId="0" fontId="4" fillId="0" borderId="0" xfId="0" applyFont="1" applyBorder="1" applyAlignment="1" applyProtection="1">
      <alignment vertical="center"/>
      <protection locked="0" hidden="1"/>
    </xf>
    <xf numFmtId="3" fontId="4" fillId="0" borderId="0" xfId="0" applyNumberFormat="1" applyFont="1" applyBorder="1" applyAlignment="1" applyProtection="1">
      <alignment vertical="center"/>
      <protection locked="0" hidden="1"/>
    </xf>
    <xf numFmtId="0" fontId="10" fillId="0" borderId="0" xfId="0" applyFont="1" applyBorder="1" applyAlignment="1" applyProtection="1">
      <alignment horizontal="center" vertical="center"/>
      <protection locked="0" hidden="1"/>
    </xf>
    <xf numFmtId="0" fontId="8" fillId="0" borderId="1" xfId="0" applyFont="1" applyFill="1" applyBorder="1" applyAlignment="1" applyProtection="1">
      <alignment horizontal="left" vertical="center"/>
      <protection locked="0" hidden="1"/>
    </xf>
    <xf numFmtId="3" fontId="8" fillId="0" borderId="1" xfId="0" applyNumberFormat="1" applyFont="1" applyFill="1" applyBorder="1" applyAlignment="1" applyProtection="1">
      <alignment vertical="center"/>
      <protection locked="0" hidden="1"/>
    </xf>
    <xf numFmtId="0" fontId="10" fillId="0" borderId="1" xfId="0" applyFont="1" applyFill="1" applyBorder="1" applyAlignment="1" applyProtection="1">
      <alignment horizontal="center" vertical="center"/>
      <protection locked="0" hidden="1"/>
    </xf>
    <xf numFmtId="0" fontId="40" fillId="0" borderId="1" xfId="0" applyFont="1" applyFill="1" applyBorder="1" applyAlignment="1" applyProtection="1">
      <alignment horizontal="left" vertical="center"/>
      <protection locked="0" hidden="1"/>
    </xf>
    <xf numFmtId="0" fontId="41" fillId="0" borderId="1" xfId="0" applyFont="1" applyFill="1" applyBorder="1" applyAlignment="1" applyProtection="1">
      <alignment horizontal="right" vertical="center"/>
      <protection locked="0" hidden="1"/>
    </xf>
    <xf numFmtId="2" fontId="40" fillId="0" borderId="1" xfId="0" applyNumberFormat="1" applyFont="1" applyFill="1" applyBorder="1" applyAlignment="1" applyProtection="1">
      <alignment vertical="center"/>
      <protection locked="0" hidden="1"/>
    </xf>
    <xf numFmtId="0" fontId="42" fillId="0" borderId="1" xfId="0" applyFont="1" applyFill="1" applyBorder="1" applyAlignment="1" applyProtection="1">
      <alignment horizontal="center" vertical="center"/>
      <protection locked="0" hidden="1"/>
    </xf>
    <xf numFmtId="4" fontId="40" fillId="0" borderId="1" xfId="0" applyNumberFormat="1" applyFont="1" applyFill="1" applyBorder="1" applyAlignment="1" applyProtection="1">
      <alignment vertical="center"/>
      <protection locked="0" hidden="1"/>
    </xf>
    <xf numFmtId="4" fontId="4" fillId="0" borderId="0" xfId="0" applyNumberFormat="1" applyFont="1" applyBorder="1" applyAlignment="1" applyProtection="1">
      <alignment vertical="center"/>
      <protection locked="0" hidden="1"/>
    </xf>
    <xf numFmtId="0" fontId="8" fillId="0" borderId="1" xfId="0" applyFont="1" applyBorder="1" applyAlignment="1" applyProtection="1">
      <alignment horizontal="left" vertical="center"/>
      <protection locked="0" hidden="1"/>
    </xf>
    <xf numFmtId="0" fontId="11" fillId="0" borderId="1" xfId="0" applyFont="1" applyBorder="1" applyAlignment="1" applyProtection="1">
      <alignment horizontal="right" vertical="center"/>
      <protection locked="0" hidden="1"/>
    </xf>
    <xf numFmtId="2" fontId="4" fillId="0" borderId="1" xfId="0" applyNumberFormat="1" applyFont="1" applyBorder="1" applyAlignment="1" applyProtection="1">
      <alignment vertical="center"/>
      <protection locked="0" hidden="1"/>
    </xf>
    <xf numFmtId="0" fontId="11" fillId="0" borderId="1" xfId="0" applyFont="1" applyFill="1" applyBorder="1" applyAlignment="1" applyProtection="1">
      <alignment horizontal="right" vertical="center"/>
      <protection locked="0" hidden="1"/>
    </xf>
    <xf numFmtId="1" fontId="4" fillId="0" borderId="2" xfId="0" applyNumberFormat="1" applyFont="1" applyFill="1" applyBorder="1" applyAlignment="1" applyProtection="1">
      <alignment vertical="center"/>
      <protection locked="0" hidden="1"/>
    </xf>
    <xf numFmtId="3" fontId="4" fillId="0" borderId="1" xfId="0" applyNumberFormat="1" applyFont="1" applyBorder="1" applyAlignment="1" applyProtection="1">
      <alignment vertical="center"/>
      <protection locked="0" hidden="1"/>
    </xf>
    <xf numFmtId="0" fontId="8" fillId="0" borderId="1" xfId="0" applyFont="1" applyFill="1" applyBorder="1" applyAlignment="1" applyProtection="1">
      <alignment horizontal="left" vertical="center"/>
      <protection locked="0" hidden="1"/>
    </xf>
    <xf numFmtId="0" fontId="13" fillId="0" borderId="1" xfId="0" applyFont="1" applyFill="1" applyBorder="1" applyAlignment="1" applyProtection="1">
      <alignment horizontal="right" vertical="center"/>
      <protection locked="0" hidden="1"/>
    </xf>
    <xf numFmtId="0" fontId="12" fillId="0" borderId="1" xfId="0" applyFont="1" applyFill="1" applyBorder="1" applyAlignment="1" applyProtection="1">
      <alignment horizontal="center" vertical="center"/>
      <protection locked="0" hidden="1"/>
    </xf>
    <xf numFmtId="0" fontId="8" fillId="0" borderId="1" xfId="0" applyFont="1" applyFill="1" applyBorder="1" applyAlignment="1" applyProtection="1">
      <alignment horizontal="left" vertical="center" wrapText="1"/>
      <protection locked="0" hidden="1"/>
    </xf>
    <xf numFmtId="4" fontId="4" fillId="0" borderId="1" xfId="0" applyNumberFormat="1" applyFont="1" applyFill="1" applyBorder="1" applyAlignment="1" applyProtection="1">
      <alignment vertical="center"/>
      <protection locked="0" hidden="1"/>
    </xf>
    <xf numFmtId="0" fontId="7" fillId="2" borderId="0" xfId="0" applyFont="1" applyFill="1" applyAlignment="1" applyProtection="1">
      <alignment horizontal="left" vertical="center"/>
      <protection locked="0" hidden="1"/>
    </xf>
    <xf numFmtId="164" fontId="4" fillId="0" borderId="1" xfId="0" applyNumberFormat="1" applyFont="1" applyBorder="1" applyAlignment="1" applyProtection="1">
      <alignment vertical="center"/>
      <protection locked="0" hidden="1"/>
    </xf>
    <xf numFmtId="0" fontId="6" fillId="0" borderId="0" xfId="0" applyFont="1" applyAlignment="1" applyProtection="1">
      <alignment vertical="center"/>
      <protection locked="0" hidden="1"/>
    </xf>
    <xf numFmtId="0" fontId="5" fillId="0" borderId="0" xfId="0" applyFont="1" applyAlignment="1" applyProtection="1">
      <alignment horizontal="center" vertical="center"/>
      <protection locked="0" hidden="1"/>
    </xf>
  </cellXfs>
  <cellStyles count="5">
    <cellStyle name="Гиперссылка" xfId="3" builtinId="8"/>
    <cellStyle name="Обычный" xfId="0" builtinId="0"/>
    <cellStyle name="Обычный 2" xfId="2"/>
    <cellStyle name="Процентный" xfId="1" builtinId="5"/>
    <cellStyle name="Финансовый 2" xfId="4"/>
  </cellStyles>
  <dxfs count="303"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b/>
        <i/>
        <u/>
        <color auto="1"/>
      </font>
      <fill>
        <patternFill>
          <bgColor theme="0" tint="-0.24994659260841701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1344553848854"/>
          <c:y val="0.15081074300475197"/>
          <c:w val="0.85703894657869228"/>
          <c:h val="0.71956836398054946"/>
        </c:manualLayout>
      </c:layout>
      <c:barChart>
        <c:barDir val="col"/>
        <c:grouping val="clustered"/>
        <c:varyColors val="0"/>
        <c:ser>
          <c:idx val="0"/>
          <c:order val="0"/>
          <c:tx>
            <c:v>Накопичуваний дисконтований грошовий потік, тис.грн.</c:v>
          </c:tx>
          <c:spPr>
            <a:ln w="34925"/>
          </c:spPr>
          <c:invertIfNegative val="0"/>
          <c:cat>
            <c:numLit>
              <c:formatCode>General</c:formatCode>
              <c:ptCount val="2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</c:numLit>
          </c:cat>
          <c:val>
            <c:numLit>
              <c:formatCode>General</c:formatCode>
              <c:ptCount val="21"/>
              <c:pt idx="0">
                <c:v>-1852.6880000000001</c:v>
              </c:pt>
              <c:pt idx="1">
                <c:v>-1720.6127321275421</c:v>
              </c:pt>
              <c:pt idx="2">
                <c:v>-1562.1224106805926</c:v>
              </c:pt>
              <c:pt idx="3">
                <c:v>-1371.934024944253</c:v>
              </c:pt>
              <c:pt idx="4">
                <c:v>-1200.4500318021221</c:v>
              </c:pt>
              <c:pt idx="5">
                <c:v>-1047.1016811418781</c:v>
              </c:pt>
              <c:pt idx="6">
                <c:v>-910.83802164364329</c:v>
              </c:pt>
              <c:pt idx="7">
                <c:v>-790.24194322716482</c:v>
              </c:pt>
              <c:pt idx="8">
                <c:v>-683.49208441154155</c:v>
              </c:pt>
              <c:pt idx="9">
                <c:v>-588.98199735529136</c:v>
              </c:pt>
              <c:pt idx="10">
                <c:v>-505.29428645955261</c:v>
              </c:pt>
              <c:pt idx="11">
                <c:v>-431.17793718307337</c:v>
              </c:pt>
              <c:pt idx="12">
                <c:v>-365.52842959267093</c:v>
              </c:pt>
              <c:pt idx="13">
                <c:v>-307.37028448649846</c:v>
              </c:pt>
              <c:pt idx="14">
                <c:v>-255.84173597432903</c:v>
              </c:pt>
              <c:pt idx="15">
                <c:v>-210.18126420552795</c:v>
              </c:pt>
              <c:pt idx="16">
                <c:v>-169.71575637799711</c:v>
              </c:pt>
              <c:pt idx="17">
                <c:v>-133.85009398939525</c:v>
              </c:pt>
              <c:pt idx="18">
                <c:v>-102.05799014635404</c:v>
              </c:pt>
              <c:pt idx="19">
                <c:v>-73.873923177052603</c:v>
              </c:pt>
              <c:pt idx="20">
                <c:v>-48.886032267727728</c:v>
              </c:pt>
            </c:numLit>
          </c:val>
        </c:ser>
        <c:ser>
          <c:idx val="1"/>
          <c:order val="1"/>
          <c:tx>
            <c:v>Чистий дисконтований грошовий потік, тис.грн.</c:v>
          </c:tx>
          <c:invertIfNegative val="0"/>
          <c:val>
            <c:numLit>
              <c:formatCode>General</c:formatCode>
              <c:ptCount val="21"/>
              <c:pt idx="0">
                <c:v>-1852.6880000000001</c:v>
              </c:pt>
              <c:pt idx="1">
                <c:v>132.07526787245797</c:v>
              </c:pt>
              <c:pt idx="2">
                <c:v>158.49032144694957</c:v>
              </c:pt>
              <c:pt idx="3">
                <c:v>190.18838573633946</c:v>
              </c:pt>
              <c:pt idx="4">
                <c:v>171.48399314213086</c:v>
              </c:pt>
              <c:pt idx="5">
                <c:v>153.34835066024399</c:v>
              </c:pt>
              <c:pt idx="6">
                <c:v>136.26365949823486</c:v>
              </c:pt>
              <c:pt idx="7">
                <c:v>120.59607841647846</c:v>
              </c:pt>
              <c:pt idx="8">
                <c:v>106.74985881562323</c:v>
              </c:pt>
              <c:pt idx="9">
                <c:v>94.510087056250185</c:v>
              </c:pt>
              <c:pt idx="10">
                <c:v>83.687710895738718</c:v>
              </c:pt>
              <c:pt idx="11">
                <c:v>74.116349276479227</c:v>
              </c:pt>
              <c:pt idx="12">
                <c:v>65.649507590402408</c:v>
              </c:pt>
              <c:pt idx="13">
                <c:v>58.158145106172441</c:v>
              </c:pt>
              <c:pt idx="14">
                <c:v>51.528548512169429</c:v>
              </c:pt>
              <c:pt idx="15">
                <c:v>45.660471768801067</c:v>
              </c:pt>
              <c:pt idx="16">
                <c:v>40.46550782753085</c:v>
              </c:pt>
              <c:pt idx="17">
                <c:v>35.865662388601869</c:v>
              </c:pt>
              <c:pt idx="18">
                <c:v>31.792103843041208</c:v>
              </c:pt>
              <c:pt idx="19">
                <c:v>28.184066969301444</c:v>
              </c:pt>
              <c:pt idx="20">
                <c:v>24.987890909324875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77568"/>
        <c:axId val="98351296"/>
      </c:barChart>
      <c:lineChart>
        <c:grouping val="standard"/>
        <c:varyColors val="0"/>
        <c:ser>
          <c:idx val="2"/>
          <c:order val="2"/>
          <c:tx>
            <c:v>Всього економія ПЕР, тис.грн.</c:v>
          </c:tx>
          <c:spPr>
            <a:ln w="22225"/>
          </c:spPr>
          <c:marker>
            <c:symbol val="x"/>
            <c:size val="7"/>
          </c:marker>
          <c:val>
            <c:numLit>
              <c:formatCode>General</c:formatCode>
              <c:ptCount val="21"/>
              <c:pt idx="0">
                <c:v>0</c:v>
              </c:pt>
              <c:pt idx="1">
                <c:v>165.09408484057246</c:v>
              </c:pt>
              <c:pt idx="2">
                <c:v>247.6411272608587</c:v>
              </c:pt>
              <c:pt idx="3">
                <c:v>371.46169089128801</c:v>
              </c:pt>
              <c:pt idx="4">
                <c:v>418.66209263215541</c:v>
              </c:pt>
              <c:pt idx="5">
                <c:v>467.98202716138911</c:v>
              </c:pt>
              <c:pt idx="6">
                <c:v>519.80460929197261</c:v>
              </c:pt>
              <c:pt idx="7">
                <c:v>575.04691322554811</c:v>
              </c:pt>
              <c:pt idx="8">
                <c:v>636.27874145283238</c:v>
              </c:pt>
              <c:pt idx="9">
                <c:v>704.15502083487945</c:v>
              </c:pt>
              <c:pt idx="10">
                <c:v>779.40254375095219</c:v>
              </c:pt>
              <c:pt idx="11">
                <c:v>862.82786536588367</c:v>
              </c:pt>
              <c:pt idx="12">
                <c:v>955.32606923956212</c:v>
              </c:pt>
              <c:pt idx="13">
                <c:v>1057.8904967800997</c:v>
              </c:pt>
              <c:pt idx="14">
                <c:v>1171.623546546685</c:v>
              </c:pt>
              <c:pt idx="15">
                <c:v>1297.7486610680292</c:v>
              </c:pt>
              <c:pt idx="16">
                <c:v>1437.6236317847759</c:v>
              </c:pt>
              <c:pt idx="17">
                <c:v>1592.7553670903312</c:v>
              </c:pt>
              <c:pt idx="18">
                <c:v>1764.8162843909136</c:v>
              </c:pt>
              <c:pt idx="19">
                <c:v>1955.6625048059886</c:v>
              </c:pt>
              <c:pt idx="20">
                <c:v>2167.3540487776654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77568"/>
        <c:axId val="98351296"/>
      </c:lineChart>
      <c:catAx>
        <c:axId val="1224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200" b="1">
                <a:latin typeface="+mj-lt"/>
              </a:defRPr>
            </a:pPr>
            <a:endParaRPr lang="uk-UA"/>
          </a:p>
        </c:txPr>
        <c:crossAx val="98351296"/>
        <c:crosses val="autoZero"/>
        <c:auto val="1"/>
        <c:lblAlgn val="ctr"/>
        <c:lblOffset val="100"/>
        <c:noMultiLvlLbl val="0"/>
      </c:catAx>
      <c:valAx>
        <c:axId val="983512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i="0">
                    <a:latin typeface="Arial" pitchFamily="34" charset="0"/>
                    <a:cs typeface="Arial" pitchFamily="34" charset="0"/>
                  </a:defRPr>
                </a:pPr>
                <a:r>
                  <a:rPr lang="ru-RU" sz="1200" i="0">
                    <a:latin typeface="Arial" pitchFamily="34" charset="0"/>
                    <a:cs typeface="Arial" pitchFamily="34" charset="0"/>
                  </a:rPr>
                  <a:t>Грошовий потік, тис.грн.</a:t>
                </a:r>
              </a:p>
            </c:rich>
          </c:tx>
          <c:layout>
            <c:manualLayout>
              <c:xMode val="edge"/>
              <c:yMode val="edge"/>
              <c:x val="2.8339602272240455E-3"/>
              <c:y val="0.1276783398184176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0">
                <a:latin typeface="Arial" pitchFamily="34" charset="0"/>
                <a:cs typeface="Arial" pitchFamily="34" charset="0"/>
              </a:defRPr>
            </a:pPr>
            <a:endParaRPr lang="uk-UA"/>
          </a:p>
        </c:txPr>
        <c:crossAx val="1224775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"/>
          <c:y val="0"/>
          <c:w val="0.99656935790630308"/>
          <c:h val="9.699646441629959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'Порівняння платежів'!$C$2</c:f>
              <c:strCache>
                <c:ptCount val="1"/>
                <c:pt idx="0">
                  <c:v>Приблизні грошові витрати за опалювальний період без модернізації будівель, грн</c:v>
                </c:pt>
              </c:strCache>
            </c:strRef>
          </c:tx>
          <c:invertIfNegative val="0"/>
          <c:cat>
            <c:strRef>
              <c:f>'Порівняння платежів'!$A$3:$A$32</c:f>
              <c:strCache>
                <c:ptCount val="28"/>
                <c:pt idx="0">
                  <c:v>2015/2016</c:v>
                </c:pt>
                <c:pt idx="3">
                  <c:v>2016/2017</c:v>
                </c:pt>
                <c:pt idx="6">
                  <c:v>2017/2018</c:v>
                </c:pt>
                <c:pt idx="9">
                  <c:v>2018/2019</c:v>
                </c:pt>
                <c:pt idx="12">
                  <c:v>2019/2020</c:v>
                </c:pt>
                <c:pt idx="15">
                  <c:v>2020/2021</c:v>
                </c:pt>
                <c:pt idx="18">
                  <c:v>2021/2022</c:v>
                </c:pt>
                <c:pt idx="21">
                  <c:v>2022/2023</c:v>
                </c:pt>
                <c:pt idx="24">
                  <c:v>2023/2024</c:v>
                </c:pt>
                <c:pt idx="27">
                  <c:v>2024/2025</c:v>
                </c:pt>
              </c:strCache>
            </c:strRef>
          </c:cat>
          <c:val>
            <c:numRef>
              <c:f>'Порівняння платежів'!$C$3:$C$32</c:f>
              <c:numCache>
                <c:formatCode>#,##0</c:formatCode>
                <c:ptCount val="30"/>
                <c:pt idx="1">
                  <c:v>520098.712446352</c:v>
                </c:pt>
                <c:pt idx="4">
                  <c:v>780148.06866952789</c:v>
                </c:pt>
                <c:pt idx="7">
                  <c:v>1170222.1030042919</c:v>
                </c:pt>
                <c:pt idx="10">
                  <c:v>1170222.1030042919</c:v>
                </c:pt>
                <c:pt idx="13">
                  <c:v>1170222.1030042919</c:v>
                </c:pt>
                <c:pt idx="16">
                  <c:v>1170222.1030042919</c:v>
                </c:pt>
                <c:pt idx="19">
                  <c:v>1170222.1030042919</c:v>
                </c:pt>
                <c:pt idx="22">
                  <c:v>1170222.1030042919</c:v>
                </c:pt>
                <c:pt idx="25">
                  <c:v>1170222.1030042919</c:v>
                </c:pt>
                <c:pt idx="28">
                  <c:v>1170222.1030042919</c:v>
                </c:pt>
              </c:numCache>
            </c:numRef>
          </c:val>
        </c:ser>
        <c:ser>
          <c:idx val="1"/>
          <c:order val="1"/>
          <c:tx>
            <c:strRef>
              <c:f>'Порівняння платежів'!$D$2</c:f>
              <c:strCache>
                <c:ptCount val="1"/>
                <c:pt idx="0">
                  <c:v>Приблизні грошові витрати за опалювальний період після модернізації будівель, грн</c:v>
                </c:pt>
              </c:strCache>
            </c:strRef>
          </c:tx>
          <c:invertIfNegative val="0"/>
          <c:cat>
            <c:strRef>
              <c:f>'Порівняння платежів'!$A$3:$A$32</c:f>
              <c:strCache>
                <c:ptCount val="28"/>
                <c:pt idx="0">
                  <c:v>2015/2016</c:v>
                </c:pt>
                <c:pt idx="3">
                  <c:v>2016/2017</c:v>
                </c:pt>
                <c:pt idx="6">
                  <c:v>2017/2018</c:v>
                </c:pt>
                <c:pt idx="9">
                  <c:v>2018/2019</c:v>
                </c:pt>
                <c:pt idx="12">
                  <c:v>2019/2020</c:v>
                </c:pt>
                <c:pt idx="15">
                  <c:v>2020/2021</c:v>
                </c:pt>
                <c:pt idx="18">
                  <c:v>2021/2022</c:v>
                </c:pt>
                <c:pt idx="21">
                  <c:v>2022/2023</c:v>
                </c:pt>
                <c:pt idx="24">
                  <c:v>2023/2024</c:v>
                </c:pt>
                <c:pt idx="27">
                  <c:v>2024/2025</c:v>
                </c:pt>
              </c:strCache>
            </c:strRef>
          </c:cat>
          <c:val>
            <c:numRef>
              <c:f>'Порівняння платежів'!$D$3:$D$32</c:f>
              <c:numCache>
                <c:formatCode>#,##0</c:formatCode>
                <c:ptCount val="30"/>
                <c:pt idx="2">
                  <c:v>353667.1244635192</c:v>
                </c:pt>
                <c:pt idx="5">
                  <c:v>530500.68669527886</c:v>
                </c:pt>
                <c:pt idx="8">
                  <c:v>795751.03004291828</c:v>
                </c:pt>
                <c:pt idx="11">
                  <c:v>795751.03004291828</c:v>
                </c:pt>
                <c:pt idx="14">
                  <c:v>795751.0300429184</c:v>
                </c:pt>
                <c:pt idx="17">
                  <c:v>795751.0300429184</c:v>
                </c:pt>
                <c:pt idx="20">
                  <c:v>795751.0300429184</c:v>
                </c:pt>
                <c:pt idx="23">
                  <c:v>795751.0300429184</c:v>
                </c:pt>
                <c:pt idx="26">
                  <c:v>795751.0300429184</c:v>
                </c:pt>
                <c:pt idx="29">
                  <c:v>795751.0300429184</c:v>
                </c:pt>
              </c:numCache>
            </c:numRef>
          </c:val>
        </c:ser>
        <c:ser>
          <c:idx val="2"/>
          <c:order val="2"/>
          <c:tx>
            <c:strRef>
              <c:f>'Порівняння платежів'!$E$2</c:f>
              <c:strCache>
                <c:ptCount val="1"/>
                <c:pt idx="0">
                  <c:v>Повернення кредиту, грн</c:v>
                </c:pt>
              </c:strCache>
            </c:strRef>
          </c:tx>
          <c:invertIfNegative val="0"/>
          <c:cat>
            <c:strRef>
              <c:f>'Порівняння платежів'!$A$3:$A$32</c:f>
              <c:strCache>
                <c:ptCount val="28"/>
                <c:pt idx="0">
                  <c:v>2015/2016</c:v>
                </c:pt>
                <c:pt idx="3">
                  <c:v>2016/2017</c:v>
                </c:pt>
                <c:pt idx="6">
                  <c:v>2017/2018</c:v>
                </c:pt>
                <c:pt idx="9">
                  <c:v>2018/2019</c:v>
                </c:pt>
                <c:pt idx="12">
                  <c:v>2019/2020</c:v>
                </c:pt>
                <c:pt idx="15">
                  <c:v>2020/2021</c:v>
                </c:pt>
                <c:pt idx="18">
                  <c:v>2021/2022</c:v>
                </c:pt>
                <c:pt idx="21">
                  <c:v>2022/2023</c:v>
                </c:pt>
                <c:pt idx="24">
                  <c:v>2023/2024</c:v>
                </c:pt>
                <c:pt idx="27">
                  <c:v>2024/2025</c:v>
                </c:pt>
              </c:strCache>
            </c:strRef>
          </c:cat>
          <c:val>
            <c:numRef>
              <c:f>'Порівняння платежів'!$E$3:$E$32</c:f>
              <c:numCache>
                <c:formatCode>#,##0</c:formatCode>
                <c:ptCount val="30"/>
                <c:pt idx="2">
                  <c:v>498344.21940881055</c:v>
                </c:pt>
                <c:pt idx="5">
                  <c:v>498344.21940881055</c:v>
                </c:pt>
                <c:pt idx="8">
                  <c:v>498344.21940881055</c:v>
                </c:pt>
                <c:pt idx="11">
                  <c:v>498344.21940881055</c:v>
                </c:pt>
                <c:pt idx="14">
                  <c:v>498344.21940881055</c:v>
                </c:pt>
                <c:pt idx="17">
                  <c:v>0</c:v>
                </c:pt>
                <c:pt idx="20">
                  <c:v>0</c:v>
                </c:pt>
                <c:pt idx="23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</c:ser>
        <c:ser>
          <c:idx val="3"/>
          <c:order val="3"/>
          <c:tx>
            <c:strRef>
              <c:f>'Порівняння платежів'!$F$2</c:f>
              <c:strCache>
                <c:ptCount val="1"/>
                <c:pt idx="0">
                  <c:v>Внесок ОСББ та разова комісія, грн</c:v>
                </c:pt>
              </c:strCache>
            </c:strRef>
          </c:tx>
          <c:invertIfNegative val="0"/>
          <c:cat>
            <c:strRef>
              <c:f>'Порівняння платежів'!$A$3:$A$32</c:f>
              <c:strCache>
                <c:ptCount val="28"/>
                <c:pt idx="0">
                  <c:v>2015/2016</c:v>
                </c:pt>
                <c:pt idx="3">
                  <c:v>2016/2017</c:v>
                </c:pt>
                <c:pt idx="6">
                  <c:v>2017/2018</c:v>
                </c:pt>
                <c:pt idx="9">
                  <c:v>2018/2019</c:v>
                </c:pt>
                <c:pt idx="12">
                  <c:v>2019/2020</c:v>
                </c:pt>
                <c:pt idx="15">
                  <c:v>2020/2021</c:v>
                </c:pt>
                <c:pt idx="18">
                  <c:v>2021/2022</c:v>
                </c:pt>
                <c:pt idx="21">
                  <c:v>2022/2023</c:v>
                </c:pt>
                <c:pt idx="24">
                  <c:v>2023/2024</c:v>
                </c:pt>
                <c:pt idx="27">
                  <c:v>2024/2025</c:v>
                </c:pt>
              </c:strCache>
            </c:strRef>
          </c:cat>
          <c:val>
            <c:numRef>
              <c:f>'Порівняння платежів'!$F$3:$F$32</c:f>
              <c:numCache>
                <c:formatCode>#,##0</c:formatCode>
                <c:ptCount val="30"/>
                <c:pt idx="0" formatCode="General">
                  <c:v>42446.486399999994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630912"/>
        <c:axId val="124264448"/>
      </c:barChart>
      <c:catAx>
        <c:axId val="102630912"/>
        <c:scaling>
          <c:orientation val="minMax"/>
        </c:scaling>
        <c:delete val="0"/>
        <c:axPos val="b"/>
        <c:majorTickMark val="out"/>
        <c:minorTickMark val="none"/>
        <c:tickLblPos val="nextTo"/>
        <c:crossAx val="124264448"/>
        <c:crosses val="autoZero"/>
        <c:auto val="1"/>
        <c:lblAlgn val="ctr"/>
        <c:lblOffset val="100"/>
        <c:noMultiLvlLbl val="0"/>
      </c:catAx>
      <c:valAx>
        <c:axId val="124264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6309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'Порівняння платежів'!$C$33</c:f>
              <c:strCache>
                <c:ptCount val="1"/>
                <c:pt idx="0">
                  <c:v>Без термомодернізації</c:v>
                </c:pt>
              </c:strCache>
            </c:strRef>
          </c:tx>
          <c:cat>
            <c:strRef>
              <c:f>'Порівняння платежів'!$A$34:$A$43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</c:v>
                </c:pt>
              </c:strCache>
            </c:strRef>
          </c:cat>
          <c:val>
            <c:numRef>
              <c:f>'Порівняння платежів'!$C$34:$C$43</c:f>
              <c:numCache>
                <c:formatCode>#,##0</c:formatCode>
                <c:ptCount val="10"/>
                <c:pt idx="0">
                  <c:v>520098.712446352</c:v>
                </c:pt>
                <c:pt idx="1">
                  <c:v>780148.06866952789</c:v>
                </c:pt>
                <c:pt idx="2">
                  <c:v>1170222.1030042919</c:v>
                </c:pt>
                <c:pt idx="3">
                  <c:v>1170222.1030042919</c:v>
                </c:pt>
                <c:pt idx="4">
                  <c:v>1170222.1030042919</c:v>
                </c:pt>
                <c:pt idx="5">
                  <c:v>1170222.1030042919</c:v>
                </c:pt>
                <c:pt idx="6">
                  <c:v>1170222.1030042919</c:v>
                </c:pt>
                <c:pt idx="7">
                  <c:v>1170222.1030042919</c:v>
                </c:pt>
                <c:pt idx="8">
                  <c:v>1170222.1030042919</c:v>
                </c:pt>
                <c:pt idx="9">
                  <c:v>1170222.1030042919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'Порівняння платежів'!$D$33</c:f>
              <c:strCache>
                <c:ptCount val="1"/>
                <c:pt idx="0">
                  <c:v>З термомодернізацією</c:v>
                </c:pt>
              </c:strCache>
            </c:strRef>
          </c:tx>
          <c:cat>
            <c:strRef>
              <c:f>'Порівняння платежів'!$A$34:$A$43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</c:v>
                </c:pt>
              </c:strCache>
            </c:strRef>
          </c:cat>
          <c:val>
            <c:numRef>
              <c:f>'Порівняння платежів'!$D$34:$D$43</c:f>
              <c:numCache>
                <c:formatCode>#,##0</c:formatCode>
                <c:ptCount val="10"/>
                <c:pt idx="0">
                  <c:v>852011.34387232969</c:v>
                </c:pt>
                <c:pt idx="1">
                  <c:v>1028844.9061040895</c:v>
                </c:pt>
                <c:pt idx="2">
                  <c:v>1294095.2494517288</c:v>
                </c:pt>
                <c:pt idx="3">
                  <c:v>1294095.2494517288</c:v>
                </c:pt>
                <c:pt idx="4">
                  <c:v>1294095.249451729</c:v>
                </c:pt>
                <c:pt idx="5">
                  <c:v>795751.0300429184</c:v>
                </c:pt>
                <c:pt idx="6">
                  <c:v>795751.0300429184</c:v>
                </c:pt>
                <c:pt idx="7">
                  <c:v>795751.0300429184</c:v>
                </c:pt>
                <c:pt idx="8">
                  <c:v>795751.0300429184</c:v>
                </c:pt>
                <c:pt idx="9">
                  <c:v>795751.0300429184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32960"/>
        <c:axId val="124266752"/>
      </c:lineChart>
      <c:catAx>
        <c:axId val="1026329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uk-UA"/>
          </a:p>
        </c:txPr>
        <c:crossAx val="124266752"/>
        <c:crosses val="autoZero"/>
        <c:auto val="1"/>
        <c:lblAlgn val="ctr"/>
        <c:lblOffset val="100"/>
        <c:noMultiLvlLbl val="0"/>
      </c:catAx>
      <c:valAx>
        <c:axId val="1242667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26329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'Порівняння щомісячних платежів '!$C$2</c:f>
              <c:strCache>
                <c:ptCount val="1"/>
                <c:pt idx="0">
                  <c:v>Приблизні щомісячні грошові витрати за опалювальний період без модернізації будівель, грн на м2</c:v>
                </c:pt>
              </c:strCache>
            </c:strRef>
          </c:tx>
          <c:invertIfNegative val="0"/>
          <c:cat>
            <c:strRef>
              <c:f>'Порівняння щомісячних платежів '!$A$3:$A$32</c:f>
              <c:strCache>
                <c:ptCount val="28"/>
                <c:pt idx="0">
                  <c:v>2015/2016</c:v>
                </c:pt>
                <c:pt idx="3">
                  <c:v>2016/2017</c:v>
                </c:pt>
                <c:pt idx="6">
                  <c:v>2017/2018</c:v>
                </c:pt>
                <c:pt idx="9">
                  <c:v>2018/2019</c:v>
                </c:pt>
                <c:pt idx="12">
                  <c:v>2019/2020</c:v>
                </c:pt>
                <c:pt idx="15">
                  <c:v>2020/2021</c:v>
                </c:pt>
                <c:pt idx="18">
                  <c:v>2021/2022</c:v>
                </c:pt>
                <c:pt idx="21">
                  <c:v>2022/2023</c:v>
                </c:pt>
                <c:pt idx="24">
                  <c:v>2023/2024</c:v>
                </c:pt>
                <c:pt idx="27">
                  <c:v>2024/2025</c:v>
                </c:pt>
              </c:strCache>
            </c:strRef>
          </c:cat>
          <c:val>
            <c:numRef>
              <c:f>'Порівняння щомісячних платежів '!$C$3:$C$32</c:f>
              <c:numCache>
                <c:formatCode>#,##0.00</c:formatCode>
                <c:ptCount val="30"/>
                <c:pt idx="1">
                  <c:v>10.056179775280901</c:v>
                </c:pt>
                <c:pt idx="4">
                  <c:v>15.084269662921349</c:v>
                </c:pt>
                <c:pt idx="7">
                  <c:v>22.626404494382026</c:v>
                </c:pt>
                <c:pt idx="10">
                  <c:v>22.626404494382026</c:v>
                </c:pt>
                <c:pt idx="13">
                  <c:v>22.626404494382026</c:v>
                </c:pt>
                <c:pt idx="16">
                  <c:v>22.626404494382026</c:v>
                </c:pt>
                <c:pt idx="19">
                  <c:v>22.626404494382026</c:v>
                </c:pt>
                <c:pt idx="22">
                  <c:v>22.626404494382026</c:v>
                </c:pt>
                <c:pt idx="25">
                  <c:v>22.626404494382026</c:v>
                </c:pt>
                <c:pt idx="28">
                  <c:v>22.626404494382026</c:v>
                </c:pt>
              </c:numCache>
            </c:numRef>
          </c:val>
        </c:ser>
        <c:ser>
          <c:idx val="1"/>
          <c:order val="1"/>
          <c:tx>
            <c:strRef>
              <c:f>'Порівняння щомісячних платежів '!$D$2</c:f>
              <c:strCache>
                <c:ptCount val="1"/>
                <c:pt idx="0">
                  <c:v>Приблизні щомісячні грошові витрати за опалювальний період після модернізації будівель, грн на м2</c:v>
                </c:pt>
              </c:strCache>
            </c:strRef>
          </c:tx>
          <c:invertIfNegative val="0"/>
          <c:cat>
            <c:strRef>
              <c:f>'Порівняння щомісячних платежів '!$A$3:$A$32</c:f>
              <c:strCache>
                <c:ptCount val="28"/>
                <c:pt idx="0">
                  <c:v>2015/2016</c:v>
                </c:pt>
                <c:pt idx="3">
                  <c:v>2016/2017</c:v>
                </c:pt>
                <c:pt idx="6">
                  <c:v>2017/2018</c:v>
                </c:pt>
                <c:pt idx="9">
                  <c:v>2018/2019</c:v>
                </c:pt>
                <c:pt idx="12">
                  <c:v>2019/2020</c:v>
                </c:pt>
                <c:pt idx="15">
                  <c:v>2020/2021</c:v>
                </c:pt>
                <c:pt idx="18">
                  <c:v>2021/2022</c:v>
                </c:pt>
                <c:pt idx="21">
                  <c:v>2022/2023</c:v>
                </c:pt>
                <c:pt idx="24">
                  <c:v>2023/2024</c:v>
                </c:pt>
                <c:pt idx="27">
                  <c:v>2024/2025</c:v>
                </c:pt>
              </c:strCache>
            </c:strRef>
          </c:cat>
          <c:val>
            <c:numRef>
              <c:f>'Порівняння щомісячних платежів '!$D$3:$D$32</c:f>
              <c:numCache>
                <c:formatCode>#,##0.00</c:formatCode>
                <c:ptCount val="30"/>
                <c:pt idx="2">
                  <c:v>6.8382022471910089</c:v>
                </c:pt>
                <c:pt idx="5">
                  <c:v>10.257303370786515</c:v>
                </c:pt>
                <c:pt idx="8">
                  <c:v>15.385955056179771</c:v>
                </c:pt>
                <c:pt idx="11">
                  <c:v>15.385955056179771</c:v>
                </c:pt>
                <c:pt idx="14">
                  <c:v>15.385955056179775</c:v>
                </c:pt>
                <c:pt idx="17">
                  <c:v>15.385955056179775</c:v>
                </c:pt>
                <c:pt idx="20">
                  <c:v>15.385955056179775</c:v>
                </c:pt>
                <c:pt idx="23">
                  <c:v>15.385955056179775</c:v>
                </c:pt>
                <c:pt idx="26">
                  <c:v>15.385955056179775</c:v>
                </c:pt>
                <c:pt idx="29">
                  <c:v>15.385955056179775</c:v>
                </c:pt>
              </c:numCache>
            </c:numRef>
          </c:val>
        </c:ser>
        <c:ser>
          <c:idx val="2"/>
          <c:order val="2"/>
          <c:tx>
            <c:strRef>
              <c:f>'Порівняння щомісячних платежів '!$E$2</c:f>
              <c:strCache>
                <c:ptCount val="1"/>
                <c:pt idx="0">
                  <c:v>Повернення кредиту, грн на м2 на міс.*</c:v>
                </c:pt>
              </c:strCache>
            </c:strRef>
          </c:tx>
          <c:invertIfNegative val="0"/>
          <c:cat>
            <c:strRef>
              <c:f>'Порівняння щомісячних платежів '!$A$3:$A$32</c:f>
              <c:strCache>
                <c:ptCount val="28"/>
                <c:pt idx="0">
                  <c:v>2015/2016</c:v>
                </c:pt>
                <c:pt idx="3">
                  <c:v>2016/2017</c:v>
                </c:pt>
                <c:pt idx="6">
                  <c:v>2017/2018</c:v>
                </c:pt>
                <c:pt idx="9">
                  <c:v>2018/2019</c:v>
                </c:pt>
                <c:pt idx="12">
                  <c:v>2019/2020</c:v>
                </c:pt>
                <c:pt idx="15">
                  <c:v>2020/2021</c:v>
                </c:pt>
                <c:pt idx="18">
                  <c:v>2021/2022</c:v>
                </c:pt>
                <c:pt idx="21">
                  <c:v>2022/2023</c:v>
                </c:pt>
                <c:pt idx="24">
                  <c:v>2023/2024</c:v>
                </c:pt>
                <c:pt idx="27">
                  <c:v>2024/2025</c:v>
                </c:pt>
              </c:strCache>
            </c:strRef>
          </c:cat>
          <c:val>
            <c:numRef>
              <c:f>'Порівняння щомісячних платежів '!$E$3:$E$32</c:f>
              <c:numCache>
                <c:formatCode>#,##0.00</c:formatCode>
                <c:ptCount val="30"/>
                <c:pt idx="2">
                  <c:v>9.4372650723177394</c:v>
                </c:pt>
                <c:pt idx="5">
                  <c:v>9.4372650723177394</c:v>
                </c:pt>
                <c:pt idx="8">
                  <c:v>9.4372650723177394</c:v>
                </c:pt>
                <c:pt idx="11">
                  <c:v>9.4372650723177394</c:v>
                </c:pt>
                <c:pt idx="14">
                  <c:v>9.4372650723177394</c:v>
                </c:pt>
              </c:numCache>
            </c:numRef>
          </c:val>
        </c:ser>
        <c:ser>
          <c:idx val="3"/>
          <c:order val="3"/>
          <c:tx>
            <c:strRef>
              <c:f>'Порівняння щомісячних платежів '!$F$2</c:f>
              <c:strCache>
                <c:ptCount val="1"/>
                <c:pt idx="0">
                  <c:v>Внесок ОСББ та разова комісія, грн на м2</c:v>
                </c:pt>
              </c:strCache>
            </c:strRef>
          </c:tx>
          <c:invertIfNegative val="0"/>
          <c:cat>
            <c:strRef>
              <c:f>'Порівняння щомісячних платежів '!$A$3:$A$32</c:f>
              <c:strCache>
                <c:ptCount val="28"/>
                <c:pt idx="0">
                  <c:v>2015/2016</c:v>
                </c:pt>
                <c:pt idx="3">
                  <c:v>2016/2017</c:v>
                </c:pt>
                <c:pt idx="6">
                  <c:v>2017/2018</c:v>
                </c:pt>
                <c:pt idx="9">
                  <c:v>2018/2019</c:v>
                </c:pt>
                <c:pt idx="12">
                  <c:v>2019/2020</c:v>
                </c:pt>
                <c:pt idx="15">
                  <c:v>2020/2021</c:v>
                </c:pt>
                <c:pt idx="18">
                  <c:v>2021/2022</c:v>
                </c:pt>
                <c:pt idx="21">
                  <c:v>2022/2023</c:v>
                </c:pt>
                <c:pt idx="24">
                  <c:v>2023/2024</c:v>
                </c:pt>
                <c:pt idx="27">
                  <c:v>2024/2025</c:v>
                </c:pt>
              </c:strCache>
            </c:strRef>
          </c:cat>
          <c:val>
            <c:numRef>
              <c:f>'Порівняння щомісячних платежів '!$F$3:$F$32</c:f>
              <c:numCache>
                <c:formatCode>#,##0.00</c:formatCode>
                <c:ptCount val="30"/>
                <c:pt idx="0" formatCode="General">
                  <c:v>4.8229163049653438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475008"/>
        <c:axId val="124269056"/>
      </c:barChart>
      <c:dateAx>
        <c:axId val="122475008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/>
          <a:lstStyle/>
          <a:p>
            <a:pPr>
              <a:defRPr kern="1000" baseline="0"/>
            </a:pPr>
            <a:endParaRPr lang="uk-UA"/>
          </a:p>
        </c:txPr>
        <c:crossAx val="124269056"/>
        <c:crosses val="autoZero"/>
        <c:auto val="0"/>
        <c:lblOffset val="100"/>
        <c:baseTimeUnit val="days"/>
      </c:dateAx>
      <c:valAx>
        <c:axId val="124269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475008"/>
        <c:crossesAt val="1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CheckBox" checked="Checked" fmlaLink="$G$23" lockText="1" noThreeD="1"/>
</file>

<file path=xl/ctrlProps/ctrlProp10.xml><?xml version="1.0" encoding="utf-8"?>
<formControlPr xmlns="http://schemas.microsoft.com/office/spreadsheetml/2009/9/main" objectType="Drop" dropLines="10" dropStyle="combo" dx="16" fmlaLink="Регіони!$H$2" fmlaRange="Регіони!$B$3:$B$27" sel="16" val="15"/>
</file>

<file path=xl/ctrlProps/ctrlProp11.xml><?xml version="1.0" encoding="utf-8"?>
<formControlPr xmlns="http://schemas.microsoft.com/office/spreadsheetml/2009/9/main" objectType="Drop" dropLines="10" dropStyle="combo" dx="16" fmlaLink="ОСББ!$H$1" fmlaRange="ОСББ!$B$2:$B$10" sel="3" val="0"/>
</file>

<file path=xl/ctrlProps/ctrlProp12.xml><?xml version="1.0" encoding="utf-8"?>
<formControlPr xmlns="http://schemas.microsoft.com/office/spreadsheetml/2009/9/main" objectType="Drop" dropLines="3" dropStyle="combo" dx="16" fmlaLink="'Умови кредитування'!$G$2" fmlaRange="'Умови кредитування'!$B$2:$B$4" noThreeD="1" val="0"/>
</file>

<file path=xl/ctrlProps/ctrlProp2.xml><?xml version="1.0" encoding="utf-8"?>
<formControlPr xmlns="http://schemas.microsoft.com/office/spreadsheetml/2009/9/main" objectType="CheckBox" checked="Checked" fmlaLink="$G$24" lockText="1" noThreeD="1"/>
</file>

<file path=xl/ctrlProps/ctrlProp3.xml><?xml version="1.0" encoding="utf-8"?>
<formControlPr xmlns="http://schemas.microsoft.com/office/spreadsheetml/2009/9/main" objectType="CheckBox" checked="Checked" fmlaLink="$G$25" lockText="1" noThreeD="1"/>
</file>

<file path=xl/ctrlProps/ctrlProp4.xml><?xml version="1.0" encoding="utf-8"?>
<formControlPr xmlns="http://schemas.microsoft.com/office/spreadsheetml/2009/9/main" objectType="CheckBox" fmlaLink="$G$26" lockText="1" noThreeD="1"/>
</file>

<file path=xl/ctrlProps/ctrlProp5.xml><?xml version="1.0" encoding="utf-8"?>
<formControlPr xmlns="http://schemas.microsoft.com/office/spreadsheetml/2009/9/main" objectType="CheckBox" checked="Checked" fmlaLink="$G$27" lockText="1" noThreeD="1"/>
</file>

<file path=xl/ctrlProps/ctrlProp6.xml><?xml version="1.0" encoding="utf-8"?>
<formControlPr xmlns="http://schemas.microsoft.com/office/spreadsheetml/2009/9/main" objectType="CheckBox" fmlaLink="$G$28" lockText="1" noThreeD="1"/>
</file>

<file path=xl/ctrlProps/ctrlProp7.xml><?xml version="1.0" encoding="utf-8"?>
<formControlPr xmlns="http://schemas.microsoft.com/office/spreadsheetml/2009/9/main" objectType="CheckBox" checked="Checked" fmlaLink="$G$29" lockText="1" noThreeD="1"/>
</file>

<file path=xl/ctrlProps/ctrlProp8.xml><?xml version="1.0" encoding="utf-8"?>
<formControlPr xmlns="http://schemas.microsoft.com/office/spreadsheetml/2009/9/main" objectType="CheckBox" checked="Checked" fmlaLink="$G$30" lockText="1" noThreeD="1"/>
</file>

<file path=xl/ctrlProps/ctrlProp9.xml><?xml version="1.0" encoding="utf-8"?>
<formControlPr xmlns="http://schemas.microsoft.com/office/spreadsheetml/2009/9/main" objectType="CheckBox" checked="Checked" fmlaLink="$G$3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2384425</xdr:colOff>
      <xdr:row>86</xdr:row>
      <xdr:rowOff>209549</xdr:rowOff>
    </xdr:from>
    <xdr:to>
      <xdr:col>2</xdr:col>
      <xdr:colOff>600075</xdr:colOff>
      <xdr:row>105</xdr:row>
      <xdr:rowOff>22754</xdr:rowOff>
    </xdr:to>
    <xdr:pic>
      <xdr:nvPicPr>
        <xdr:cNvPr id="2" name="Picture 25" descr="http://ilikenews.com/sites/default/files/field/image/munc1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2775" y="17335499"/>
          <a:ext cx="1158875" cy="345175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21</xdr:row>
          <xdr:rowOff>180975</xdr:rowOff>
        </xdr:from>
        <xdr:to>
          <xdr:col>1</xdr:col>
          <xdr:colOff>857250</xdr:colOff>
          <xdr:row>22</xdr:row>
          <xdr:rowOff>190500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9525</xdr:rowOff>
        </xdr:from>
        <xdr:to>
          <xdr:col>1</xdr:col>
          <xdr:colOff>857250</xdr:colOff>
          <xdr:row>24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24</xdr:row>
          <xdr:rowOff>19050</xdr:rowOff>
        </xdr:from>
        <xdr:to>
          <xdr:col>1</xdr:col>
          <xdr:colOff>857250</xdr:colOff>
          <xdr:row>25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25</xdr:row>
          <xdr:rowOff>0</xdr:rowOff>
        </xdr:from>
        <xdr:to>
          <xdr:col>1</xdr:col>
          <xdr:colOff>857250</xdr:colOff>
          <xdr:row>26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26</xdr:row>
          <xdr:rowOff>9525</xdr:rowOff>
        </xdr:from>
        <xdr:to>
          <xdr:col>1</xdr:col>
          <xdr:colOff>857250</xdr:colOff>
          <xdr:row>27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27</xdr:row>
          <xdr:rowOff>0</xdr:rowOff>
        </xdr:from>
        <xdr:to>
          <xdr:col>1</xdr:col>
          <xdr:colOff>857250</xdr:colOff>
          <xdr:row>28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28</xdr:row>
          <xdr:rowOff>19050</xdr:rowOff>
        </xdr:from>
        <xdr:to>
          <xdr:col>1</xdr:col>
          <xdr:colOff>857250</xdr:colOff>
          <xdr:row>29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29</xdr:row>
          <xdr:rowOff>28575</xdr:rowOff>
        </xdr:from>
        <xdr:to>
          <xdr:col>1</xdr:col>
          <xdr:colOff>857250</xdr:colOff>
          <xdr:row>30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30</xdr:row>
          <xdr:rowOff>9525</xdr:rowOff>
        </xdr:from>
        <xdr:to>
          <xdr:col>1</xdr:col>
          <xdr:colOff>857250</xdr:colOff>
          <xdr:row>31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190500</xdr:rowOff>
        </xdr:from>
        <xdr:to>
          <xdr:col>3</xdr:col>
          <xdr:colOff>76200</xdr:colOff>
          <xdr:row>9</xdr:row>
          <xdr:rowOff>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3</xdr:col>
          <xdr:colOff>66675</xdr:colOff>
          <xdr:row>10</xdr:row>
          <xdr:rowOff>19050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4162425</xdr:colOff>
          <xdr:row>47</xdr:row>
          <xdr:rowOff>0</xdr:rowOff>
        </xdr:from>
        <xdr:to>
          <xdr:col>3</xdr:col>
          <xdr:colOff>47625</xdr:colOff>
          <xdr:row>48</xdr:row>
          <xdr:rowOff>19050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54429</xdr:colOff>
      <xdr:row>52</xdr:row>
      <xdr:rowOff>163286</xdr:rowOff>
    </xdr:from>
    <xdr:to>
      <xdr:col>25</xdr:col>
      <xdr:colOff>31297</xdr:colOff>
      <xdr:row>65</xdr:row>
      <xdr:rowOff>134711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685800</xdr:colOff>
      <xdr:row>0</xdr:row>
      <xdr:rowOff>3857625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43</xdr:row>
      <xdr:rowOff>142875</xdr:rowOff>
    </xdr:from>
    <xdr:to>
      <xdr:col>4</xdr:col>
      <xdr:colOff>1209675</xdr:colOff>
      <xdr:row>56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762001</xdr:colOff>
      <xdr:row>0</xdr:row>
      <xdr:rowOff>247650</xdr:rowOff>
    </xdr:from>
    <xdr:to>
      <xdr:col>5</xdr:col>
      <xdr:colOff>809625</xdr:colOff>
      <xdr:row>0</xdr:row>
      <xdr:rowOff>3638550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agent.ua/statistics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31"/>
  <sheetViews>
    <sheetView tabSelected="1" topLeftCell="A7" workbookViewId="0">
      <selection activeCell="D14" sqref="D14"/>
    </sheetView>
  </sheetViews>
  <sheetFormatPr defaultRowHeight="16.5" x14ac:dyDescent="0.25"/>
  <cols>
    <col min="1" max="1" width="62.5703125" style="372" customWidth="1"/>
    <col min="2" max="2" width="20.28515625" style="372" customWidth="1"/>
    <col min="3" max="3" width="12.140625" style="372" customWidth="1"/>
    <col min="4" max="4" width="27.42578125" style="372" customWidth="1"/>
    <col min="5" max="5" width="20.140625" style="372" customWidth="1"/>
    <col min="6" max="6" width="21.85546875" style="372" customWidth="1"/>
    <col min="7" max="7" width="17" style="372" customWidth="1"/>
    <col min="8" max="13" width="9.140625" style="372"/>
    <col min="14" max="14" width="9.140625" style="372" customWidth="1"/>
    <col min="15" max="16384" width="9.140625" style="372"/>
  </cols>
  <sheetData>
    <row r="1" spans="1:7" ht="32.25" customHeight="1" x14ac:dyDescent="0.25">
      <c r="A1" s="377" t="s">
        <v>80</v>
      </c>
      <c r="B1" s="377"/>
      <c r="C1" s="377"/>
      <c r="D1" s="377"/>
      <c r="E1" s="377"/>
      <c r="F1" s="378"/>
    </row>
    <row r="2" spans="1:7" ht="30.75" customHeight="1" x14ac:dyDescent="0.25">
      <c r="A2" s="377"/>
      <c r="B2" s="377"/>
      <c r="C2" s="377"/>
      <c r="D2" s="377"/>
      <c r="E2" s="377"/>
    </row>
    <row r="3" spans="1:7" x14ac:dyDescent="0.25">
      <c r="A3" s="379" t="s">
        <v>79</v>
      </c>
    </row>
    <row r="4" spans="1:7" ht="36.75" customHeight="1" x14ac:dyDescent="0.25">
      <c r="A4" s="380" t="s">
        <v>612</v>
      </c>
      <c r="B4" s="380"/>
      <c r="C4" s="380"/>
      <c r="D4" s="380"/>
      <c r="E4" s="380"/>
    </row>
    <row r="5" spans="1:7" x14ac:dyDescent="0.25">
      <c r="A5" s="381"/>
      <c r="B5" s="381"/>
      <c r="C5" s="381"/>
      <c r="D5" s="381"/>
      <c r="E5" s="381"/>
    </row>
    <row r="7" spans="1:7" x14ac:dyDescent="0.25">
      <c r="A7" s="382" t="s">
        <v>78</v>
      </c>
      <c r="B7" s="382"/>
      <c r="C7" s="382"/>
      <c r="D7" s="382"/>
      <c r="E7" s="382"/>
    </row>
    <row r="9" spans="1:7" x14ac:dyDescent="0.25">
      <c r="A9" s="383" t="s">
        <v>77</v>
      </c>
      <c r="B9" s="375"/>
    </row>
    <row r="10" spans="1:7" x14ac:dyDescent="0.25">
      <c r="A10" s="383" t="s">
        <v>76</v>
      </c>
      <c r="B10" s="375"/>
    </row>
    <row r="11" spans="1:7" x14ac:dyDescent="0.25">
      <c r="A11" s="384" t="s">
        <v>75</v>
      </c>
      <c r="B11" s="384" t="s">
        <v>74</v>
      </c>
      <c r="C11" s="384" t="s">
        <v>73</v>
      </c>
      <c r="D11" s="384" t="s">
        <v>72</v>
      </c>
      <c r="E11" s="385"/>
    </row>
    <row r="12" spans="1:7" x14ac:dyDescent="0.25">
      <c r="A12" s="386" t="str">
        <f>VLOOKUP(ОСББ!H1,ОСББ!A2:C10,3,0)</f>
        <v>середина 50-ч - кінець 80-х</v>
      </c>
      <c r="B12" s="386" t="str">
        <f>VLOOKUP(ОСББ!H1,ОСББ!A2:D10,4,0)</f>
        <v>3…12</v>
      </c>
      <c r="C12" s="386" t="str">
        <f>VLOOKUP(ОСББ!H1,ОСББ!A2:G10,6,0)</f>
        <v>2,50м-2,55м</v>
      </c>
      <c r="D12" s="386" t="str">
        <f>VLOOKUP(ОСББ!H1,ОСББ!A2:E10,5,0)</f>
        <v>Залізобетонна панель</v>
      </c>
      <c r="E12" s="385"/>
      <c r="F12" s="387"/>
      <c r="G12" s="387"/>
    </row>
    <row r="13" spans="1:7" x14ac:dyDescent="0.25">
      <c r="D13" s="387"/>
      <c r="E13" s="385"/>
      <c r="F13" s="387"/>
      <c r="G13" s="387"/>
    </row>
    <row r="14" spans="1:7" x14ac:dyDescent="0.25">
      <c r="A14" s="383" t="s">
        <v>71</v>
      </c>
      <c r="B14" s="373">
        <v>8801</v>
      </c>
      <c r="C14" s="388" t="s">
        <v>70</v>
      </c>
    </row>
    <row r="15" spans="1:7" x14ac:dyDescent="0.25">
      <c r="A15" s="383" t="s">
        <v>69</v>
      </c>
      <c r="B15" s="373">
        <v>9</v>
      </c>
      <c r="C15" s="388" t="s">
        <v>68</v>
      </c>
    </row>
    <row r="16" spans="1:7" x14ac:dyDescent="0.25">
      <c r="A16" s="383" t="s">
        <v>67</v>
      </c>
      <c r="B16" s="373">
        <v>400</v>
      </c>
      <c r="C16" s="388" t="s">
        <v>66</v>
      </c>
    </row>
    <row r="17" spans="1:9" x14ac:dyDescent="0.25">
      <c r="A17" s="383" t="s">
        <v>65</v>
      </c>
      <c r="B17" s="373">
        <v>167</v>
      </c>
      <c r="C17" s="388" t="s">
        <v>64</v>
      </c>
    </row>
    <row r="18" spans="1:9" x14ac:dyDescent="0.25">
      <c r="A18" s="383" t="s">
        <v>63</v>
      </c>
      <c r="B18" s="373">
        <v>10</v>
      </c>
      <c r="C18" s="388" t="s">
        <v>21</v>
      </c>
    </row>
    <row r="20" spans="1:9" x14ac:dyDescent="0.25">
      <c r="A20" s="382" t="s">
        <v>62</v>
      </c>
      <c r="B20" s="382"/>
      <c r="C20" s="382"/>
      <c r="D20" s="382"/>
      <c r="E20" s="382"/>
      <c r="F20" s="389"/>
      <c r="G20" s="389"/>
      <c r="H20" s="389"/>
      <c r="I20" s="389"/>
    </row>
    <row r="21" spans="1:9" x14ac:dyDescent="0.25">
      <c r="B21" s="390"/>
      <c r="F21" s="389"/>
      <c r="G21" s="389"/>
      <c r="H21" s="389"/>
      <c r="I21" s="389"/>
    </row>
    <row r="22" spans="1:9" x14ac:dyDescent="0.25">
      <c r="A22" s="391" t="s">
        <v>61</v>
      </c>
      <c r="B22" s="391" t="s">
        <v>60</v>
      </c>
      <c r="D22" s="392" t="s">
        <v>59</v>
      </c>
      <c r="E22" s="392" t="s">
        <v>58</v>
      </c>
      <c r="F22" s="389"/>
      <c r="G22" s="389"/>
      <c r="H22" s="389"/>
      <c r="I22" s="389"/>
    </row>
    <row r="23" spans="1:9" x14ac:dyDescent="0.25">
      <c r="A23" s="393" t="s">
        <v>57</v>
      </c>
      <c r="B23" s="394"/>
      <c r="D23" s="376" t="str">
        <f>IF(ОСББ!E25=0,"-","-")</f>
        <v>-</v>
      </c>
      <c r="E23" s="376">
        <f>IF(ОСББ!E25=0,"-",ОСББ!H36)</f>
        <v>15000</v>
      </c>
      <c r="F23" s="389"/>
      <c r="G23" s="389" t="b">
        <v>1</v>
      </c>
      <c r="H23" s="389"/>
      <c r="I23" s="389"/>
    </row>
    <row r="24" spans="1:9" x14ac:dyDescent="0.25">
      <c r="A24" s="393" t="s">
        <v>56</v>
      </c>
      <c r="B24" s="395"/>
      <c r="D24" s="376">
        <f>IF(ОСББ!E17=0,"-",ОСББ!G28)</f>
        <v>300000</v>
      </c>
      <c r="E24" s="376">
        <f>IF(ОСББ!E17=0,"-",ОСББ!H28)</f>
        <v>100000</v>
      </c>
      <c r="F24" s="389"/>
      <c r="G24" s="389" t="b">
        <v>1</v>
      </c>
      <c r="H24" s="389"/>
      <c r="I24" s="389"/>
    </row>
    <row r="25" spans="1:9" x14ac:dyDescent="0.25">
      <c r="A25" s="393" t="s">
        <v>55</v>
      </c>
      <c r="B25" s="395"/>
      <c r="D25" s="376">
        <f>IF(ОСББ!E18=0,"-",ОСББ!G29)</f>
        <v>100000</v>
      </c>
      <c r="E25" s="376">
        <f>IF(ОСББ!E18=0,"-",ОСББ!H29)</f>
        <v>20000</v>
      </c>
      <c r="F25" s="389"/>
      <c r="G25" s="389" t="b">
        <v>1</v>
      </c>
      <c r="H25" s="389"/>
      <c r="I25" s="389"/>
    </row>
    <row r="26" spans="1:9" x14ac:dyDescent="0.25">
      <c r="A26" s="393" t="s">
        <v>54</v>
      </c>
      <c r="B26" s="395"/>
      <c r="D26" s="376" t="str">
        <f>IF(ОСББ!E19=0,"-",ОСББ!G30)</f>
        <v>-</v>
      </c>
      <c r="E26" s="376" t="str">
        <f>IF(ОСББ!E19=0,"-",ОСББ!H30)</f>
        <v>-</v>
      </c>
      <c r="F26" s="389"/>
      <c r="G26" s="389" t="b">
        <v>0</v>
      </c>
      <c r="H26" s="389"/>
      <c r="I26" s="389"/>
    </row>
    <row r="27" spans="1:9" x14ac:dyDescent="0.25">
      <c r="A27" s="393" t="s">
        <v>53</v>
      </c>
      <c r="B27" s="395"/>
      <c r="D27" s="376">
        <f>IF(ОСББ!E20=0,"-",ОСББ!G31)</f>
        <v>259200</v>
      </c>
      <c r="E27" s="376">
        <f>IF(ОСББ!E20=0,"-",ОСББ!H31)</f>
        <v>25920</v>
      </c>
      <c r="F27" s="389"/>
      <c r="G27" s="389" t="b">
        <v>1</v>
      </c>
      <c r="H27" s="389"/>
      <c r="I27" s="389"/>
    </row>
    <row r="28" spans="1:9" x14ac:dyDescent="0.25">
      <c r="A28" s="393" t="s">
        <v>52</v>
      </c>
      <c r="B28" s="395"/>
      <c r="D28" s="376" t="str">
        <f>IF(ОСББ!E21=0,"-",ОСББ!G32)</f>
        <v>-</v>
      </c>
      <c r="E28" s="376" t="str">
        <f>IF(ОСББ!E21=0,"-",ОСББ!H32)</f>
        <v>-</v>
      </c>
      <c r="F28" s="389"/>
      <c r="G28" s="389" t="b">
        <v>0</v>
      </c>
      <c r="H28" s="389"/>
      <c r="I28" s="389"/>
    </row>
    <row r="29" spans="1:9" x14ac:dyDescent="0.25">
      <c r="A29" s="393" t="s">
        <v>51</v>
      </c>
      <c r="B29" s="395"/>
      <c r="D29" s="376">
        <f>IF(ОСББ!E22=0,"-",ОСББ!G33)</f>
        <v>440050</v>
      </c>
      <c r="E29" s="376">
        <f>IF(ОСББ!E23=0,"-",ОСББ!H34)</f>
        <v>88010</v>
      </c>
      <c r="F29" s="389"/>
      <c r="G29" s="389" t="b">
        <v>1</v>
      </c>
      <c r="H29" s="389"/>
      <c r="I29" s="389"/>
    </row>
    <row r="30" spans="1:9" x14ac:dyDescent="0.25">
      <c r="A30" s="393" t="s">
        <v>50</v>
      </c>
      <c r="B30" s="395"/>
      <c r="D30" s="376">
        <f>IF(ОСББ!E23=0,"-",ОСББ!G34)</f>
        <v>440050</v>
      </c>
      <c r="E30" s="376">
        <f>IF(ОСББ!E23=0,"-",ОСББ!H34)</f>
        <v>88010</v>
      </c>
      <c r="F30" s="389"/>
      <c r="G30" s="389" t="b">
        <v>1</v>
      </c>
      <c r="H30" s="389"/>
      <c r="I30" s="389"/>
    </row>
    <row r="31" spans="1:9" x14ac:dyDescent="0.25">
      <c r="A31" s="393" t="s">
        <v>49</v>
      </c>
      <c r="B31" s="395"/>
      <c r="D31" s="376">
        <f>IF(ОСББ!E24=0,"-",ОСББ!G35)</f>
        <v>70408</v>
      </c>
      <c r="E31" s="376">
        <f>IF(ОСББ!E24=0,"-",ОСББ!H35)</f>
        <v>14081.6</v>
      </c>
      <c r="F31" s="389"/>
      <c r="G31" s="389" t="b">
        <v>1</v>
      </c>
      <c r="H31" s="389"/>
      <c r="I31" s="389"/>
    </row>
    <row r="32" spans="1:9" x14ac:dyDescent="0.25">
      <c r="F32" s="389"/>
      <c r="G32" s="389"/>
      <c r="H32" s="389"/>
      <c r="I32" s="389"/>
    </row>
    <row r="33" spans="1:9" x14ac:dyDescent="0.25">
      <c r="A33" s="396" t="s">
        <v>48</v>
      </c>
      <c r="B33" s="396"/>
      <c r="C33" s="396"/>
      <c r="D33" s="396"/>
      <c r="E33" s="396"/>
      <c r="F33" s="389"/>
      <c r="G33" s="389"/>
      <c r="H33" s="389"/>
      <c r="I33" s="389"/>
    </row>
    <row r="34" spans="1:9" x14ac:dyDescent="0.25">
      <c r="A34" s="396"/>
      <c r="B34" s="396"/>
      <c r="C34" s="396"/>
      <c r="D34" s="396"/>
      <c r="E34" s="396"/>
      <c r="F34" s="389"/>
      <c r="G34" s="389"/>
      <c r="H34" s="389"/>
      <c r="I34" s="389"/>
    </row>
    <row r="35" spans="1:9" x14ac:dyDescent="0.25">
      <c r="A35" s="397" t="s">
        <v>47</v>
      </c>
      <c r="B35" s="398">
        <f>SUM(B36:B38)</f>
        <v>2058766.08</v>
      </c>
      <c r="C35" s="388" t="s">
        <v>6</v>
      </c>
    </row>
    <row r="36" spans="1:9" x14ac:dyDescent="0.25">
      <c r="A36" s="399" t="s">
        <v>46</v>
      </c>
      <c r="B36" s="400">
        <f>ОСББ!G37</f>
        <v>1609708</v>
      </c>
      <c r="C36" s="388" t="s">
        <v>6</v>
      </c>
    </row>
    <row r="37" spans="1:9" x14ac:dyDescent="0.25">
      <c r="A37" s="399" t="s">
        <v>45</v>
      </c>
      <c r="B37" s="400">
        <f>ОСББ!H37</f>
        <v>351021.6</v>
      </c>
      <c r="C37" s="388" t="s">
        <v>6</v>
      </c>
    </row>
    <row r="38" spans="1:9" x14ac:dyDescent="0.25">
      <c r="A38" s="399" t="s">
        <v>44</v>
      </c>
      <c r="B38" s="400">
        <f>ОСББ!H39</f>
        <v>98036.48000000001</v>
      </c>
      <c r="C38" s="388" t="s">
        <v>6</v>
      </c>
      <c r="D38" s="385"/>
      <c r="E38" s="385"/>
      <c r="F38" s="385"/>
      <c r="G38" s="385"/>
    </row>
    <row r="39" spans="1:9" x14ac:dyDescent="0.25">
      <c r="C39" s="401"/>
    </row>
    <row r="40" spans="1:9" x14ac:dyDescent="0.25">
      <c r="A40" s="395" t="s">
        <v>43</v>
      </c>
      <c r="B40" s="374">
        <v>0</v>
      </c>
      <c r="C40" s="402" t="s">
        <v>601</v>
      </c>
    </row>
    <row r="42" spans="1:9" x14ac:dyDescent="0.25">
      <c r="A42" s="403" t="s">
        <v>42</v>
      </c>
      <c r="B42" s="404">
        <f>IF(B17*10000&lt;B36*0.4,B17*10000,B36*0.4)</f>
        <v>643883.20000000007</v>
      </c>
      <c r="C42" s="388" t="s">
        <v>6</v>
      </c>
      <c r="D42" s="378"/>
    </row>
    <row r="44" spans="1:9" x14ac:dyDescent="0.25">
      <c r="A44" s="383" t="s">
        <v>41</v>
      </c>
      <c r="B44" s="405">
        <f>B35-B40-B42</f>
        <v>1414882.88</v>
      </c>
      <c r="C44" s="401" t="s">
        <v>6</v>
      </c>
      <c r="D44" s="406"/>
    </row>
    <row r="45" spans="1:9" s="378" customFormat="1" x14ac:dyDescent="0.25">
      <c r="A45" s="399" t="s">
        <v>40</v>
      </c>
      <c r="B45" s="407">
        <f>B36-B42</f>
        <v>965824.79999999993</v>
      </c>
      <c r="C45" s="408"/>
    </row>
    <row r="46" spans="1:9" s="378" customFormat="1" x14ac:dyDescent="0.25">
      <c r="A46" s="399" t="s">
        <v>39</v>
      </c>
      <c r="B46" s="407">
        <f>B37+B38-B40</f>
        <v>449058.07999999996</v>
      </c>
      <c r="C46" s="408"/>
    </row>
    <row r="47" spans="1:9" x14ac:dyDescent="0.25">
      <c r="C47" s="401"/>
    </row>
    <row r="48" spans="1:9" x14ac:dyDescent="0.25">
      <c r="A48" s="403" t="s">
        <v>36</v>
      </c>
      <c r="B48" s="409"/>
      <c r="C48" s="388"/>
    </row>
    <row r="49" spans="1:6" x14ac:dyDescent="0.25">
      <c r="A49" s="395" t="s">
        <v>38</v>
      </c>
      <c r="B49" s="375">
        <v>60</v>
      </c>
      <c r="C49" s="388" t="s">
        <v>37</v>
      </c>
    </row>
    <row r="50" spans="1:6" x14ac:dyDescent="0.25">
      <c r="A50" s="395" t="s">
        <v>602</v>
      </c>
      <c r="B50" s="407">
        <f>B44*VLOOKUP('Умови кредитування'!G2,'Умови кредитування'!A1:E10,5,0)</f>
        <v>42446.486399999994</v>
      </c>
      <c r="C50" s="388" t="s">
        <v>6</v>
      </c>
      <c r="D50" s="410"/>
      <c r="E50" s="385"/>
    </row>
    <row r="51" spans="1:6" x14ac:dyDescent="0.25">
      <c r="C51" s="401"/>
    </row>
    <row r="52" spans="1:6" x14ac:dyDescent="0.25">
      <c r="A52" s="411"/>
      <c r="B52" s="412"/>
      <c r="C52" s="413"/>
      <c r="D52" s="385"/>
      <c r="F52" s="401"/>
    </row>
    <row r="53" spans="1:6" x14ac:dyDescent="0.25">
      <c r="A53" s="414" t="s">
        <v>35</v>
      </c>
      <c r="B53" s="415">
        <f>'Вхідні дані'!B30*-1</f>
        <v>41528.684950734219</v>
      </c>
      <c r="C53" s="416" t="s">
        <v>27</v>
      </c>
      <c r="D53" s="385"/>
      <c r="F53" s="401"/>
    </row>
    <row r="54" spans="1:6" x14ac:dyDescent="0.25">
      <c r="C54" s="401"/>
    </row>
    <row r="55" spans="1:6" x14ac:dyDescent="0.25">
      <c r="A55" s="417" t="s">
        <v>34</v>
      </c>
      <c r="B55" s="417"/>
      <c r="C55" s="417"/>
    </row>
    <row r="56" spans="1:6" x14ac:dyDescent="0.25">
      <c r="A56" s="418" t="s">
        <v>33</v>
      </c>
      <c r="B56" s="419">
        <f>B53/B14</f>
        <v>4.7186325361588706</v>
      </c>
      <c r="C56" s="420" t="s">
        <v>27</v>
      </c>
    </row>
    <row r="57" spans="1:6" s="378" customFormat="1" x14ac:dyDescent="0.25">
      <c r="A57" s="418" t="s">
        <v>32</v>
      </c>
      <c r="B57" s="421">
        <f>B53/B17</f>
        <v>248.67476018403724</v>
      </c>
      <c r="C57" s="420" t="s">
        <v>27</v>
      </c>
    </row>
    <row r="58" spans="1:6" x14ac:dyDescent="0.25">
      <c r="A58" s="411"/>
      <c r="B58" s="422"/>
      <c r="C58" s="413"/>
    </row>
    <row r="59" spans="1:6" x14ac:dyDescent="0.25">
      <c r="A59" s="411"/>
      <c r="B59" s="422"/>
      <c r="C59" s="413"/>
    </row>
    <row r="60" spans="1:6" x14ac:dyDescent="0.25">
      <c r="A60" s="423" t="s">
        <v>31</v>
      </c>
      <c r="B60" s="423"/>
      <c r="C60" s="423"/>
    </row>
    <row r="61" spans="1:6" x14ac:dyDescent="0.25">
      <c r="A61" s="424" t="s">
        <v>30</v>
      </c>
      <c r="B61" s="425">
        <f>Розрахунки!J8</f>
        <v>3.2000000000000006</v>
      </c>
      <c r="C61" s="388" t="s">
        <v>27</v>
      </c>
    </row>
    <row r="62" spans="1:6" s="378" customFormat="1" x14ac:dyDescent="0.25">
      <c r="A62" s="426" t="s">
        <v>29</v>
      </c>
      <c r="B62" s="427">
        <f>Розрахунки!J9</f>
        <v>168.6419161676647</v>
      </c>
      <c r="C62" s="416" t="s">
        <v>27</v>
      </c>
    </row>
    <row r="63" spans="1:6" x14ac:dyDescent="0.25">
      <c r="A63" s="424" t="s">
        <v>28</v>
      </c>
      <c r="B63" s="428">
        <f>Розрахунки!J7</f>
        <v>28163.200000000004</v>
      </c>
      <c r="C63" s="388" t="s">
        <v>27</v>
      </c>
    </row>
    <row r="64" spans="1:6" x14ac:dyDescent="0.25">
      <c r="A64" s="411"/>
      <c r="B64" s="422"/>
      <c r="C64" s="413"/>
    </row>
    <row r="65" spans="1:5" s="378" customFormat="1" x14ac:dyDescent="0.25">
      <c r="A65" s="429" t="s">
        <v>26</v>
      </c>
      <c r="B65" s="429"/>
      <c r="C65" s="429"/>
    </row>
    <row r="66" spans="1:5" s="378" customFormat="1" x14ac:dyDescent="0.25">
      <c r="A66" s="426" t="s">
        <v>24</v>
      </c>
      <c r="B66" s="407">
        <f>Розрахунки!J11</f>
        <v>527.00598802395211</v>
      </c>
      <c r="C66" s="416" t="s">
        <v>21</v>
      </c>
    </row>
    <row r="67" spans="1:5" s="378" customFormat="1" x14ac:dyDescent="0.25">
      <c r="A67" s="426" t="s">
        <v>23</v>
      </c>
      <c r="B67" s="407">
        <f>Розрахунки!J12</f>
        <v>358.36407185628741</v>
      </c>
      <c r="C67" s="416" t="s">
        <v>21</v>
      </c>
    </row>
    <row r="68" spans="1:5" s="378" customFormat="1" x14ac:dyDescent="0.25">
      <c r="A68" s="430" t="s">
        <v>22</v>
      </c>
      <c r="B68" s="415">
        <f>B67+B57</f>
        <v>607.03883204032468</v>
      </c>
      <c r="C68" s="431" t="s">
        <v>21</v>
      </c>
    </row>
    <row r="69" spans="1:5" x14ac:dyDescent="0.25">
      <c r="A69" s="411"/>
      <c r="B69" s="412"/>
      <c r="C69" s="413"/>
    </row>
    <row r="70" spans="1:5" s="378" customFormat="1" x14ac:dyDescent="0.25">
      <c r="A70" s="432" t="s">
        <v>25</v>
      </c>
      <c r="B70" s="432"/>
      <c r="C70" s="432"/>
    </row>
    <row r="71" spans="1:5" s="378" customFormat="1" x14ac:dyDescent="0.25">
      <c r="A71" s="426" t="s">
        <v>24</v>
      </c>
      <c r="B71" s="433">
        <f>B18</f>
        <v>10</v>
      </c>
      <c r="C71" s="416" t="s">
        <v>21</v>
      </c>
    </row>
    <row r="72" spans="1:5" s="378" customFormat="1" x14ac:dyDescent="0.25">
      <c r="A72" s="426" t="s">
        <v>23</v>
      </c>
      <c r="B72" s="433">
        <f>B71-B61</f>
        <v>6.7999999999999989</v>
      </c>
      <c r="C72" s="416" t="s">
        <v>21</v>
      </c>
    </row>
    <row r="73" spans="1:5" s="378" customFormat="1" x14ac:dyDescent="0.25">
      <c r="A73" s="426" t="s">
        <v>22</v>
      </c>
      <c r="B73" s="433">
        <f>B72+B56</f>
        <v>11.518632536158869</v>
      </c>
      <c r="C73" s="416" t="s">
        <v>21</v>
      </c>
    </row>
    <row r="74" spans="1:5" x14ac:dyDescent="0.25">
      <c r="A74" s="411"/>
      <c r="B74" s="412"/>
      <c r="C74" s="413"/>
    </row>
    <row r="75" spans="1:5" x14ac:dyDescent="0.25">
      <c r="A75" s="385"/>
    </row>
    <row r="76" spans="1:5" x14ac:dyDescent="0.25">
      <c r="A76" s="396" t="s">
        <v>20</v>
      </c>
      <c r="B76" s="396"/>
      <c r="C76" s="396"/>
      <c r="D76" s="396"/>
      <c r="E76" s="396"/>
    </row>
    <row r="77" spans="1:5" x14ac:dyDescent="0.25">
      <c r="A77" s="396"/>
      <c r="B77" s="396"/>
      <c r="C77" s="396"/>
      <c r="D77" s="396"/>
      <c r="E77" s="396"/>
    </row>
    <row r="79" spans="1:5" x14ac:dyDescent="0.25">
      <c r="A79" s="434" t="s">
        <v>19</v>
      </c>
      <c r="B79" s="434"/>
      <c r="C79" s="434"/>
      <c r="D79" s="434"/>
      <c r="E79" s="434"/>
    </row>
    <row r="81" spans="1:6" x14ac:dyDescent="0.25">
      <c r="A81" s="391" t="s">
        <v>18</v>
      </c>
      <c r="B81" s="391" t="s">
        <v>17</v>
      </c>
      <c r="C81" s="391"/>
      <c r="D81" s="391" t="s">
        <v>16</v>
      </c>
      <c r="E81" s="385"/>
      <c r="F81" s="385"/>
    </row>
    <row r="82" spans="1:6" x14ac:dyDescent="0.25">
      <c r="A82" s="395" t="s">
        <v>15</v>
      </c>
      <c r="B82" s="435">
        <f>30*ОСББ!$G$59</f>
        <v>18060</v>
      </c>
      <c r="C82" s="391" t="s">
        <v>12</v>
      </c>
      <c r="D82" s="435">
        <f>30*ОСББ!$G$60</f>
        <v>21130.199999999997</v>
      </c>
    </row>
    <row r="83" spans="1:6" x14ac:dyDescent="0.25">
      <c r="A83" s="395" t="s">
        <v>14</v>
      </c>
      <c r="B83" s="435">
        <f>45*ОСББ!$G$59</f>
        <v>27090</v>
      </c>
      <c r="C83" s="391" t="s">
        <v>12</v>
      </c>
      <c r="D83" s="435">
        <f>45*ОСББ!$G$60</f>
        <v>31695.299999999996</v>
      </c>
    </row>
    <row r="84" spans="1:6" x14ac:dyDescent="0.25">
      <c r="A84" s="395" t="s">
        <v>13</v>
      </c>
      <c r="B84" s="435">
        <f>60*ОСББ!$G$59</f>
        <v>36120</v>
      </c>
      <c r="C84" s="391" t="s">
        <v>12</v>
      </c>
      <c r="D84" s="435">
        <f>60*ОСББ!$G$60</f>
        <v>42260.399999999994</v>
      </c>
    </row>
    <row r="86" spans="1:6" x14ac:dyDescent="0.25">
      <c r="A86" s="434" t="s">
        <v>11</v>
      </c>
      <c r="B86" s="434"/>
      <c r="C86" s="434"/>
      <c r="D86" s="434"/>
      <c r="E86" s="434"/>
    </row>
    <row r="130" spans="1:3" x14ac:dyDescent="0.25">
      <c r="A130" s="436"/>
      <c r="B130" s="436"/>
      <c r="C130" s="437"/>
    </row>
    <row r="131" spans="1:3" x14ac:dyDescent="0.25">
      <c r="A131" s="436"/>
      <c r="B131" s="436"/>
      <c r="C131" s="436"/>
    </row>
  </sheetData>
  <sheetProtection password="EA39" sheet="1" formatCells="0" formatColumns="0" formatRows="0" insertColumns="0" insertRows="0" insertHyperlinks="0" deleteColumns="0" deleteRows="0" sort="0" autoFilter="0" pivotTables="0"/>
  <mergeCells count="12">
    <mergeCell ref="A65:C65"/>
    <mergeCell ref="A76:E77"/>
    <mergeCell ref="A79:E79"/>
    <mergeCell ref="A86:E86"/>
    <mergeCell ref="A1:E2"/>
    <mergeCell ref="A7:E7"/>
    <mergeCell ref="A20:E20"/>
    <mergeCell ref="A33:E34"/>
    <mergeCell ref="A55:C55"/>
    <mergeCell ref="A60:C60"/>
    <mergeCell ref="A70:C70"/>
    <mergeCell ref="A4:E4"/>
  </mergeCells>
  <dataValidations count="6">
    <dataValidation type="whole" allowBlank="1" showInputMessage="1" showErrorMessage="1" sqref="B48:B49">
      <formula1>1</formula1>
      <formula2>60</formula2>
    </dataValidation>
    <dataValidation type="decimal" allowBlank="1" showInputMessage="1" showErrorMessage="1" sqref="B14">
      <formula1>20</formula1>
      <formula2>100000</formula2>
    </dataValidation>
    <dataValidation type="whole" allowBlank="1" showInputMessage="1" showErrorMessage="1" sqref="B15">
      <formula1>1</formula1>
      <formula2>36</formula2>
    </dataValidation>
    <dataValidation type="decimal" allowBlank="1" showInputMessage="1" showErrorMessage="1" sqref="B16">
      <formula1>20</formula1>
      <formula2>1000</formula2>
    </dataValidation>
    <dataValidation type="decimal" allowBlank="1" showInputMessage="1" showErrorMessage="1" sqref="B18">
      <formula1>5</formula1>
      <formula2>100</formula2>
    </dataValidation>
    <dataValidation type="whole" allowBlank="1" showInputMessage="1" showErrorMessage="1" sqref="B17">
      <formula1>1</formula1>
      <formula2>500</formula2>
    </dataValidation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1</xdr:col>
                    <xdr:colOff>552450</xdr:colOff>
                    <xdr:row>21</xdr:row>
                    <xdr:rowOff>180975</xdr:rowOff>
                  </from>
                  <to>
                    <xdr:col>1</xdr:col>
                    <xdr:colOff>857250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1</xdr:col>
                    <xdr:colOff>552450</xdr:colOff>
                    <xdr:row>23</xdr:row>
                    <xdr:rowOff>9525</xdr:rowOff>
                  </from>
                  <to>
                    <xdr:col>1</xdr:col>
                    <xdr:colOff>857250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locked="0" defaultSize="0" autoFill="0" autoLine="0" autoPict="0">
                <anchor moveWithCells="1">
                  <from>
                    <xdr:col>1</xdr:col>
                    <xdr:colOff>552450</xdr:colOff>
                    <xdr:row>24</xdr:row>
                    <xdr:rowOff>19050</xdr:rowOff>
                  </from>
                  <to>
                    <xdr:col>1</xdr:col>
                    <xdr:colOff>857250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locked="0" defaultSize="0" autoFill="0" autoLine="0" autoPict="0">
                <anchor moveWithCells="1">
                  <from>
                    <xdr:col>1</xdr:col>
                    <xdr:colOff>552450</xdr:colOff>
                    <xdr:row>25</xdr:row>
                    <xdr:rowOff>0</xdr:rowOff>
                  </from>
                  <to>
                    <xdr:col>1</xdr:col>
                    <xdr:colOff>857250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locked="0" defaultSize="0" autoFill="0" autoLine="0" autoPict="0">
                <anchor moveWithCells="1">
                  <from>
                    <xdr:col>1</xdr:col>
                    <xdr:colOff>552450</xdr:colOff>
                    <xdr:row>26</xdr:row>
                    <xdr:rowOff>9525</xdr:rowOff>
                  </from>
                  <to>
                    <xdr:col>1</xdr:col>
                    <xdr:colOff>857250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locked="0" defaultSize="0" autoFill="0" autoLine="0" autoPict="0">
                <anchor moveWithCells="1">
                  <from>
                    <xdr:col>1</xdr:col>
                    <xdr:colOff>552450</xdr:colOff>
                    <xdr:row>27</xdr:row>
                    <xdr:rowOff>0</xdr:rowOff>
                  </from>
                  <to>
                    <xdr:col>1</xdr:col>
                    <xdr:colOff>857250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locked="0" defaultSize="0" autoFill="0" autoLine="0" autoPict="0">
                <anchor moveWithCells="1">
                  <from>
                    <xdr:col>1</xdr:col>
                    <xdr:colOff>552450</xdr:colOff>
                    <xdr:row>28</xdr:row>
                    <xdr:rowOff>19050</xdr:rowOff>
                  </from>
                  <to>
                    <xdr:col>1</xdr:col>
                    <xdr:colOff>857250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locked="0" defaultSize="0" autoFill="0" autoLine="0" autoPict="0">
                <anchor moveWithCells="1">
                  <from>
                    <xdr:col>1</xdr:col>
                    <xdr:colOff>552450</xdr:colOff>
                    <xdr:row>29</xdr:row>
                    <xdr:rowOff>28575</xdr:rowOff>
                  </from>
                  <to>
                    <xdr:col>1</xdr:col>
                    <xdr:colOff>857250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locked="0" defaultSize="0" autoFill="0" autoLine="0" autoPict="0">
                <anchor moveWithCells="1">
                  <from>
                    <xdr:col>1</xdr:col>
                    <xdr:colOff>552450</xdr:colOff>
                    <xdr:row>30</xdr:row>
                    <xdr:rowOff>9525</xdr:rowOff>
                  </from>
                  <to>
                    <xdr:col>1</xdr:col>
                    <xdr:colOff>857250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Drop Down 12">
              <controlPr locked="0" defaultSize="0" autoLine="0" autoPict="0">
                <anchor moveWithCells="1">
                  <from>
                    <xdr:col>1</xdr:col>
                    <xdr:colOff>0</xdr:colOff>
                    <xdr:row>7</xdr:row>
                    <xdr:rowOff>190500</xdr:rowOff>
                  </from>
                  <to>
                    <xdr:col>3</xdr:col>
                    <xdr:colOff>76200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Drop Down 13">
              <controlPr locked="0" defaultSize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3</xdr:col>
                    <xdr:colOff>66675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Drop Down 14">
              <controlPr locked="0" defaultSize="0" autoLine="0" autoPict="0">
                <anchor moveWithCells="1">
                  <from>
                    <xdr:col>0</xdr:col>
                    <xdr:colOff>4162425</xdr:colOff>
                    <xdr:row>47</xdr:row>
                    <xdr:rowOff>0</xdr:rowOff>
                  </from>
                  <to>
                    <xdr:col>3</xdr:col>
                    <xdr:colOff>47625</xdr:colOff>
                    <xdr:row>48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F37" sqref="F37"/>
    </sheetView>
  </sheetViews>
  <sheetFormatPr defaultRowHeight="15" x14ac:dyDescent="0.25"/>
  <cols>
    <col min="1" max="1" width="12" style="36" customWidth="1"/>
    <col min="2" max="2" width="22" customWidth="1"/>
    <col min="3" max="3" width="33.85546875" customWidth="1"/>
    <col min="4" max="4" width="28" customWidth="1"/>
    <col min="5" max="5" width="24.5703125" customWidth="1"/>
    <col min="6" max="6" width="22.42578125" customWidth="1"/>
    <col min="7" max="7" width="25.28515625" customWidth="1"/>
    <col min="8" max="8" width="9.85546875" customWidth="1"/>
    <col min="9" max="9" width="11" bestFit="1" customWidth="1"/>
    <col min="10" max="10" width="9.85546875" customWidth="1"/>
    <col min="11" max="11" width="11" bestFit="1" customWidth="1"/>
    <col min="12" max="12" width="10.28515625" customWidth="1"/>
    <col min="13" max="13" width="11" bestFit="1" customWidth="1"/>
    <col min="14" max="14" width="9.85546875" customWidth="1"/>
    <col min="15" max="15" width="11" bestFit="1" customWidth="1"/>
    <col min="16" max="16" width="9.85546875" customWidth="1"/>
    <col min="17" max="17" width="11" bestFit="1" customWidth="1"/>
    <col min="18" max="18" width="9.85546875" customWidth="1"/>
    <col min="19" max="19" width="11" bestFit="1" customWidth="1"/>
    <col min="20" max="20" width="9.85546875" customWidth="1"/>
    <col min="21" max="21" width="11" bestFit="1" customWidth="1"/>
  </cols>
  <sheetData>
    <row r="1" spans="1:7" ht="318" customHeight="1" thickBot="1" x14ac:dyDescent="0.3">
      <c r="A1" s="357"/>
      <c r="B1" s="357"/>
      <c r="C1" s="357"/>
      <c r="D1" s="357"/>
      <c r="E1" s="357"/>
      <c r="F1" s="357"/>
    </row>
    <row r="2" spans="1:7" s="50" customFormat="1" ht="60" x14ac:dyDescent="0.25">
      <c r="A2" s="87"/>
      <c r="B2" s="86"/>
      <c r="C2" s="86" t="s">
        <v>380</v>
      </c>
      <c r="D2" s="86" t="s">
        <v>379</v>
      </c>
      <c r="E2" s="86" t="s">
        <v>378</v>
      </c>
      <c r="F2" s="85" t="s">
        <v>377</v>
      </c>
    </row>
    <row r="3" spans="1:7" s="50" customFormat="1" x14ac:dyDescent="0.25">
      <c r="A3" s="355" t="s">
        <v>376</v>
      </c>
      <c r="B3" s="82" t="s">
        <v>366</v>
      </c>
      <c r="C3" s="84"/>
      <c r="D3" s="84"/>
      <c r="E3" s="84"/>
      <c r="F3" s="83">
        <f>('Фінансовий потік'!B3+'Фінансовий потік'!B4)*-1</f>
        <v>42446.486399999994</v>
      </c>
      <c r="G3" s="79">
        <f t="shared" ref="G3:G32" si="0">D3+E3</f>
        <v>0</v>
      </c>
    </row>
    <row r="4" spans="1:7" x14ac:dyDescent="0.25">
      <c r="A4" s="355"/>
      <c r="B4" s="9" t="s">
        <v>365</v>
      </c>
      <c r="C4" s="12">
        <f>SUM('Фінансовий потік'!E8:K8)*-1</f>
        <v>520098.712446352</v>
      </c>
      <c r="D4" s="12"/>
      <c r="E4" s="12"/>
      <c r="F4" s="76"/>
      <c r="G4" s="79">
        <f t="shared" si="0"/>
        <v>0</v>
      </c>
    </row>
    <row r="5" spans="1:7" x14ac:dyDescent="0.25">
      <c r="A5" s="355"/>
      <c r="B5" s="9" t="s">
        <v>364</v>
      </c>
      <c r="C5" s="12"/>
      <c r="D5" s="12">
        <f>SUM('Фінансовий потік'!E9:K9)*-1</f>
        <v>353667.1244635192</v>
      </c>
      <c r="E5" s="12">
        <f>(SUM('Фінансовий потік'!E6:P6))*-1</f>
        <v>498344.21940881055</v>
      </c>
      <c r="F5" s="76"/>
      <c r="G5" s="79">
        <f t="shared" si="0"/>
        <v>852011.34387232969</v>
      </c>
    </row>
    <row r="6" spans="1:7" x14ac:dyDescent="0.25">
      <c r="A6" s="355" t="s">
        <v>375</v>
      </c>
      <c r="B6" s="82" t="s">
        <v>366</v>
      </c>
      <c r="C6" s="12"/>
      <c r="D6" s="12"/>
      <c r="E6" s="12"/>
      <c r="F6" s="76"/>
      <c r="G6" s="79">
        <f t="shared" si="0"/>
        <v>0</v>
      </c>
    </row>
    <row r="7" spans="1:7" x14ac:dyDescent="0.25">
      <c r="A7" s="355"/>
      <c r="B7" s="9" t="s">
        <v>365</v>
      </c>
      <c r="C7" s="12">
        <f>SUM('Фінансовий потік'!Q8:W8)*-1</f>
        <v>780148.06866952789</v>
      </c>
      <c r="D7" s="12"/>
      <c r="E7" s="12"/>
      <c r="F7" s="76"/>
      <c r="G7" s="79">
        <f t="shared" si="0"/>
        <v>0</v>
      </c>
    </row>
    <row r="8" spans="1:7" x14ac:dyDescent="0.25">
      <c r="A8" s="355"/>
      <c r="B8" s="9" t="s">
        <v>364</v>
      </c>
      <c r="C8" s="12"/>
      <c r="D8" s="12">
        <f>SUM('Фінансовий потік'!Q9:W9)*-1</f>
        <v>530500.68669527886</v>
      </c>
      <c r="E8" s="12">
        <f>SUM('Фінансовий потік'!Q6:AB6)*-1</f>
        <v>498344.21940881055</v>
      </c>
      <c r="F8" s="76"/>
      <c r="G8" s="79">
        <f t="shared" si="0"/>
        <v>1028844.9061040895</v>
      </c>
    </row>
    <row r="9" spans="1:7" x14ac:dyDescent="0.25">
      <c r="A9" s="355" t="s">
        <v>374</v>
      </c>
      <c r="B9" s="82" t="s">
        <v>366</v>
      </c>
      <c r="C9" s="12"/>
      <c r="D9" s="12"/>
      <c r="E9" s="12"/>
      <c r="F9" s="76"/>
      <c r="G9" s="79">
        <f t="shared" si="0"/>
        <v>0</v>
      </c>
    </row>
    <row r="10" spans="1:7" x14ac:dyDescent="0.25">
      <c r="A10" s="355"/>
      <c r="B10" s="9" t="s">
        <v>365</v>
      </c>
      <c r="C10" s="12">
        <f>SUM('Фінансовий потік'!AC8:AI8)*-1</f>
        <v>1170222.1030042919</v>
      </c>
      <c r="D10" s="12"/>
      <c r="E10" s="12"/>
      <c r="F10" s="76"/>
      <c r="G10" s="79">
        <f t="shared" si="0"/>
        <v>0</v>
      </c>
    </row>
    <row r="11" spans="1:7" x14ac:dyDescent="0.25">
      <c r="A11" s="355"/>
      <c r="B11" s="9" t="s">
        <v>364</v>
      </c>
      <c r="C11" s="12"/>
      <c r="D11" s="12">
        <f>SUM('Фінансовий потік'!AC9:AI9)*-1</f>
        <v>795751.03004291828</v>
      </c>
      <c r="E11" s="12">
        <f>SUM('Фінансовий потік'!AC6:AN6)*-1</f>
        <v>498344.21940881055</v>
      </c>
      <c r="F11" s="76"/>
      <c r="G11" s="79">
        <f t="shared" si="0"/>
        <v>1294095.2494517288</v>
      </c>
    </row>
    <row r="12" spans="1:7" x14ac:dyDescent="0.25">
      <c r="A12" s="355" t="s">
        <v>373</v>
      </c>
      <c r="B12" s="82" t="s">
        <v>366</v>
      </c>
      <c r="C12" s="12"/>
      <c r="D12" s="12"/>
      <c r="E12" s="12"/>
      <c r="F12" s="76"/>
      <c r="G12" s="79">
        <f t="shared" si="0"/>
        <v>0</v>
      </c>
    </row>
    <row r="13" spans="1:7" x14ac:dyDescent="0.25">
      <c r="A13" s="355"/>
      <c r="B13" s="9" t="s">
        <v>365</v>
      </c>
      <c r="C13" s="12">
        <f>SUM('Фінансовий потік'!AO8:AU8)*-1</f>
        <v>1170222.1030042919</v>
      </c>
      <c r="D13" s="12"/>
      <c r="E13" s="12"/>
      <c r="F13" s="76"/>
      <c r="G13" s="79">
        <f t="shared" si="0"/>
        <v>0</v>
      </c>
    </row>
    <row r="14" spans="1:7" x14ac:dyDescent="0.25">
      <c r="A14" s="355"/>
      <c r="B14" s="9" t="s">
        <v>364</v>
      </c>
      <c r="C14" s="12"/>
      <c r="D14" s="12">
        <f>SUM('Фінансовий потік'!AO9:AU9)*-1</f>
        <v>795751.03004291828</v>
      </c>
      <c r="E14" s="12">
        <f>SUM('Фінансовий потік'!AO6:AZ6)*-1</f>
        <v>498344.21940881055</v>
      </c>
      <c r="F14" s="76"/>
      <c r="G14" s="79">
        <f t="shared" si="0"/>
        <v>1294095.2494517288</v>
      </c>
    </row>
    <row r="15" spans="1:7" x14ac:dyDescent="0.25">
      <c r="A15" s="355" t="s">
        <v>372</v>
      </c>
      <c r="B15" s="82" t="s">
        <v>366</v>
      </c>
      <c r="C15" s="12"/>
      <c r="D15" s="12"/>
      <c r="E15" s="12"/>
      <c r="F15" s="76"/>
      <c r="G15" s="79">
        <f t="shared" si="0"/>
        <v>0</v>
      </c>
    </row>
    <row r="16" spans="1:7" x14ac:dyDescent="0.25">
      <c r="A16" s="355"/>
      <c r="B16" s="9" t="s">
        <v>365</v>
      </c>
      <c r="C16" s="12">
        <f>SUM('Фінансовий потік'!BA8:BG8)*-1</f>
        <v>1170222.1030042919</v>
      </c>
      <c r="D16" s="12"/>
      <c r="E16" s="12"/>
      <c r="F16" s="76"/>
      <c r="G16" s="79">
        <f t="shared" si="0"/>
        <v>0</v>
      </c>
    </row>
    <row r="17" spans="1:7" x14ac:dyDescent="0.25">
      <c r="A17" s="355"/>
      <c r="B17" s="9" t="s">
        <v>364</v>
      </c>
      <c r="C17" s="12"/>
      <c r="D17" s="12">
        <f>SUM('Фінансовий потік'!BA9:BG9)*-1</f>
        <v>795751.0300429184</v>
      </c>
      <c r="E17" s="12">
        <f>SUM('Фінансовий потік'!BA6:BL6)*-1</f>
        <v>498344.21940881055</v>
      </c>
      <c r="F17" s="76"/>
      <c r="G17" s="79">
        <f t="shared" si="0"/>
        <v>1294095.249451729</v>
      </c>
    </row>
    <row r="18" spans="1:7" x14ac:dyDescent="0.25">
      <c r="A18" s="355" t="s">
        <v>371</v>
      </c>
      <c r="B18" s="82" t="s">
        <v>366</v>
      </c>
      <c r="C18" s="12"/>
      <c r="D18" s="12"/>
      <c r="E18" s="12"/>
      <c r="F18" s="76"/>
      <c r="G18" s="79">
        <f t="shared" si="0"/>
        <v>0</v>
      </c>
    </row>
    <row r="19" spans="1:7" x14ac:dyDescent="0.25">
      <c r="A19" s="355"/>
      <c r="B19" s="9" t="s">
        <v>365</v>
      </c>
      <c r="C19" s="12">
        <f>SUM('Фінансовий потік'!BM8:BS8)*-1</f>
        <v>1170222.1030042919</v>
      </c>
      <c r="D19" s="12"/>
      <c r="E19" s="12"/>
      <c r="F19" s="76"/>
      <c r="G19" s="79">
        <f t="shared" si="0"/>
        <v>0</v>
      </c>
    </row>
    <row r="20" spans="1:7" x14ac:dyDescent="0.25">
      <c r="A20" s="355"/>
      <c r="B20" s="9" t="s">
        <v>364</v>
      </c>
      <c r="C20" s="12"/>
      <c r="D20" s="12">
        <f>SUM('Фінансовий потік'!BM9:BS9)*-1</f>
        <v>795751.0300429184</v>
      </c>
      <c r="E20" s="12">
        <v>0</v>
      </c>
      <c r="F20" s="76"/>
      <c r="G20" s="79">
        <f t="shared" si="0"/>
        <v>795751.0300429184</v>
      </c>
    </row>
    <row r="21" spans="1:7" x14ac:dyDescent="0.25">
      <c r="A21" s="355" t="s">
        <v>370</v>
      </c>
      <c r="B21" s="82" t="s">
        <v>366</v>
      </c>
      <c r="C21" s="12"/>
      <c r="D21" s="12"/>
      <c r="E21" s="12"/>
      <c r="F21" s="76"/>
      <c r="G21" s="79">
        <f t="shared" si="0"/>
        <v>0</v>
      </c>
    </row>
    <row r="22" spans="1:7" x14ac:dyDescent="0.25">
      <c r="A22" s="355"/>
      <c r="B22" s="9" t="s">
        <v>365</v>
      </c>
      <c r="C22" s="12">
        <f>SUM('Фінансовий потік'!BY8:CE8)*-1</f>
        <v>1170222.1030042919</v>
      </c>
      <c r="D22" s="12"/>
      <c r="E22" s="12"/>
      <c r="F22" s="76"/>
      <c r="G22" s="79">
        <f t="shared" si="0"/>
        <v>0</v>
      </c>
    </row>
    <row r="23" spans="1:7" x14ac:dyDescent="0.25">
      <c r="A23" s="355"/>
      <c r="B23" s="9" t="s">
        <v>364</v>
      </c>
      <c r="C23" s="12"/>
      <c r="D23" s="12">
        <f>SUM('Фінансовий потік'!BY9:CE9)*-1</f>
        <v>795751.0300429184</v>
      </c>
      <c r="E23" s="12">
        <v>0</v>
      </c>
      <c r="F23" s="76"/>
      <c r="G23" s="79">
        <f t="shared" si="0"/>
        <v>795751.0300429184</v>
      </c>
    </row>
    <row r="24" spans="1:7" x14ac:dyDescent="0.25">
      <c r="A24" s="355" t="s">
        <v>369</v>
      </c>
      <c r="B24" s="82" t="s">
        <v>366</v>
      </c>
      <c r="C24" s="12"/>
      <c r="D24" s="12"/>
      <c r="E24" s="12"/>
      <c r="F24" s="76"/>
      <c r="G24" s="79">
        <f t="shared" si="0"/>
        <v>0</v>
      </c>
    </row>
    <row r="25" spans="1:7" x14ac:dyDescent="0.25">
      <c r="A25" s="355"/>
      <c r="B25" s="9" t="s">
        <v>365</v>
      </c>
      <c r="C25" s="12">
        <f>SUM('Фінансовий потік'!CK8:CQ8)*-1</f>
        <v>1170222.1030042919</v>
      </c>
      <c r="D25" s="12"/>
      <c r="E25" s="12"/>
      <c r="F25" s="76"/>
      <c r="G25" s="79">
        <f t="shared" si="0"/>
        <v>0</v>
      </c>
    </row>
    <row r="26" spans="1:7" x14ac:dyDescent="0.25">
      <c r="A26" s="355"/>
      <c r="B26" s="9" t="s">
        <v>364</v>
      </c>
      <c r="C26" s="12"/>
      <c r="D26" s="12">
        <f>SUM('Фінансовий потік'!CK9:CQ9)*-1</f>
        <v>795751.0300429184</v>
      </c>
      <c r="E26" s="12">
        <v>0</v>
      </c>
      <c r="F26" s="76"/>
      <c r="G26" s="79">
        <f t="shared" si="0"/>
        <v>795751.0300429184</v>
      </c>
    </row>
    <row r="27" spans="1:7" x14ac:dyDescent="0.25">
      <c r="A27" s="355" t="s">
        <v>368</v>
      </c>
      <c r="B27" s="82" t="s">
        <v>366</v>
      </c>
      <c r="C27" s="12"/>
      <c r="D27" s="12"/>
      <c r="E27" s="12"/>
      <c r="F27" s="76"/>
      <c r="G27" s="79">
        <f t="shared" si="0"/>
        <v>0</v>
      </c>
    </row>
    <row r="28" spans="1:7" x14ac:dyDescent="0.25">
      <c r="A28" s="355"/>
      <c r="B28" s="9" t="s">
        <v>365</v>
      </c>
      <c r="C28" s="12">
        <f>SUM('Фінансовий потік'!CW8:DC8)*-1</f>
        <v>1170222.1030042919</v>
      </c>
      <c r="D28" s="12"/>
      <c r="E28" s="12"/>
      <c r="F28" s="76"/>
      <c r="G28" s="79">
        <f t="shared" si="0"/>
        <v>0</v>
      </c>
    </row>
    <row r="29" spans="1:7" x14ac:dyDescent="0.25">
      <c r="A29" s="355"/>
      <c r="B29" s="9" t="s">
        <v>364</v>
      </c>
      <c r="C29" s="12"/>
      <c r="D29" s="12">
        <f>SUM('Фінансовий потік'!CW9:DC9)*-1</f>
        <v>795751.0300429184</v>
      </c>
      <c r="E29" s="12">
        <v>0</v>
      </c>
      <c r="F29" s="76"/>
      <c r="G29" s="79">
        <f t="shared" si="0"/>
        <v>795751.0300429184</v>
      </c>
    </row>
    <row r="30" spans="1:7" x14ac:dyDescent="0.25">
      <c r="A30" s="355" t="s">
        <v>367</v>
      </c>
      <c r="B30" s="82" t="s">
        <v>366</v>
      </c>
      <c r="C30" s="12"/>
      <c r="D30" s="12"/>
      <c r="E30" s="12"/>
      <c r="F30" s="76"/>
      <c r="G30" s="79">
        <f t="shared" si="0"/>
        <v>0</v>
      </c>
    </row>
    <row r="31" spans="1:7" x14ac:dyDescent="0.25">
      <c r="A31" s="355"/>
      <c r="B31" s="9" t="s">
        <v>365</v>
      </c>
      <c r="C31" s="12">
        <f>SUM('Фінансовий потік'!DI8:DO8)*-1</f>
        <v>1170222.1030042919</v>
      </c>
      <c r="D31" s="12"/>
      <c r="E31" s="12"/>
      <c r="F31" s="76"/>
      <c r="G31" s="79">
        <f t="shared" si="0"/>
        <v>0</v>
      </c>
    </row>
    <row r="32" spans="1:7" ht="15.75" thickBot="1" x14ac:dyDescent="0.3">
      <c r="A32" s="356"/>
      <c r="B32" s="81" t="s">
        <v>364</v>
      </c>
      <c r="C32" s="80"/>
      <c r="D32" s="80">
        <f>SUM('Фінансовий потік'!DI9:DO9)*-1</f>
        <v>795751.0300429184</v>
      </c>
      <c r="E32" s="80">
        <v>0</v>
      </c>
      <c r="F32" s="74"/>
      <c r="G32" s="79">
        <f t="shared" si="0"/>
        <v>795751.0300429184</v>
      </c>
    </row>
    <row r="33" spans="1:6" x14ac:dyDescent="0.25">
      <c r="C33" s="36" t="s">
        <v>363</v>
      </c>
      <c r="D33" t="s">
        <v>362</v>
      </c>
      <c r="E33" t="s">
        <v>110</v>
      </c>
      <c r="F33" t="s">
        <v>604</v>
      </c>
    </row>
    <row r="34" spans="1:6" x14ac:dyDescent="0.25">
      <c r="A34" s="36" t="str">
        <f>A3</f>
        <v>2015/2016</v>
      </c>
      <c r="C34" s="47">
        <f>C4</f>
        <v>520098.712446352</v>
      </c>
      <c r="D34" s="47">
        <f>G5</f>
        <v>852011.34387232969</v>
      </c>
      <c r="E34" s="47">
        <f>C34-D34</f>
        <v>-331912.63142597768</v>
      </c>
      <c r="F34" s="47">
        <f>C34-D5</f>
        <v>166431.5879828328</v>
      </c>
    </row>
    <row r="35" spans="1:6" x14ac:dyDescent="0.25">
      <c r="A35" s="36" t="str">
        <f>A6</f>
        <v>2016/2017</v>
      </c>
      <c r="C35" s="47">
        <f>C7</f>
        <v>780148.06866952789</v>
      </c>
      <c r="D35" s="47">
        <f>G8</f>
        <v>1028844.9061040895</v>
      </c>
      <c r="E35" s="47">
        <f t="shared" ref="E35:E43" si="1">C35-D35</f>
        <v>-248696.83743456157</v>
      </c>
      <c r="F35" s="47">
        <f>C35-D8</f>
        <v>249647.38197424903</v>
      </c>
    </row>
    <row r="36" spans="1:6" x14ac:dyDescent="0.25">
      <c r="A36" s="36" t="str">
        <f>A9</f>
        <v>2017/2018</v>
      </c>
      <c r="C36" s="47">
        <f>C10</f>
        <v>1170222.1030042919</v>
      </c>
      <c r="D36" s="47">
        <f>G11</f>
        <v>1294095.2494517288</v>
      </c>
      <c r="E36" s="47">
        <f t="shared" si="1"/>
        <v>-123873.14644743688</v>
      </c>
      <c r="F36" s="47">
        <f>C36-D11</f>
        <v>374471.0729613736</v>
      </c>
    </row>
    <row r="37" spans="1:6" x14ac:dyDescent="0.25">
      <c r="A37" s="36" t="str">
        <f>A12</f>
        <v>2018/2019</v>
      </c>
      <c r="C37" s="47">
        <f>C13</f>
        <v>1170222.1030042919</v>
      </c>
      <c r="D37" s="47">
        <f>G14</f>
        <v>1294095.2494517288</v>
      </c>
      <c r="E37" s="47">
        <f t="shared" si="1"/>
        <v>-123873.14644743688</v>
      </c>
    </row>
    <row r="38" spans="1:6" x14ac:dyDescent="0.25">
      <c r="A38" s="36" t="str">
        <f>A15</f>
        <v>2019/2020</v>
      </c>
      <c r="C38" s="47">
        <f>C16</f>
        <v>1170222.1030042919</v>
      </c>
      <c r="D38" s="47">
        <f>G17</f>
        <v>1294095.249451729</v>
      </c>
      <c r="E38" s="47">
        <f t="shared" si="1"/>
        <v>-123873.14644743712</v>
      </c>
    </row>
    <row r="39" spans="1:6" x14ac:dyDescent="0.25">
      <c r="A39" s="36" t="str">
        <f>A18</f>
        <v>2020/2021</v>
      </c>
      <c r="C39" s="47">
        <f>C19</f>
        <v>1170222.1030042919</v>
      </c>
      <c r="D39" s="47">
        <f>G20</f>
        <v>795751.0300429184</v>
      </c>
      <c r="E39" s="47">
        <f t="shared" si="1"/>
        <v>374471.07296137349</v>
      </c>
    </row>
    <row r="40" spans="1:6" x14ac:dyDescent="0.25">
      <c r="A40" s="36" t="str">
        <f>A21</f>
        <v>2021/2022</v>
      </c>
      <c r="C40" s="47">
        <f>C22</f>
        <v>1170222.1030042919</v>
      </c>
      <c r="D40" s="47">
        <f>G23</f>
        <v>795751.0300429184</v>
      </c>
      <c r="E40" s="47">
        <f t="shared" si="1"/>
        <v>374471.07296137349</v>
      </c>
    </row>
    <row r="41" spans="1:6" x14ac:dyDescent="0.25">
      <c r="A41" s="36" t="str">
        <f>A24</f>
        <v>2022/2023</v>
      </c>
      <c r="C41" s="47">
        <f>C25</f>
        <v>1170222.1030042919</v>
      </c>
      <c r="D41" s="47">
        <f>G26</f>
        <v>795751.0300429184</v>
      </c>
      <c r="E41" s="47">
        <f t="shared" si="1"/>
        <v>374471.07296137349</v>
      </c>
    </row>
    <row r="42" spans="1:6" x14ac:dyDescent="0.25">
      <c r="A42" s="36" t="str">
        <f>A27</f>
        <v>2023/2024</v>
      </c>
      <c r="C42" s="47">
        <f>C28</f>
        <v>1170222.1030042919</v>
      </c>
      <c r="D42" s="47">
        <f>G29</f>
        <v>795751.0300429184</v>
      </c>
      <c r="E42" s="47">
        <f t="shared" si="1"/>
        <v>374471.07296137349</v>
      </c>
    </row>
    <row r="43" spans="1:6" x14ac:dyDescent="0.25">
      <c r="A43" s="36" t="str">
        <f>A30</f>
        <v>2024/2025</v>
      </c>
      <c r="C43" s="47">
        <f>C31</f>
        <v>1170222.1030042919</v>
      </c>
      <c r="D43" s="47">
        <f>G32</f>
        <v>795751.0300429184</v>
      </c>
      <c r="E43" s="47">
        <f t="shared" si="1"/>
        <v>374471.07296137349</v>
      </c>
    </row>
  </sheetData>
  <mergeCells count="11">
    <mergeCell ref="A24:A26"/>
    <mergeCell ref="A30:A32"/>
    <mergeCell ref="A1:F1"/>
    <mergeCell ref="A3:A5"/>
    <mergeCell ref="A6:A8"/>
    <mergeCell ref="A9:A11"/>
    <mergeCell ref="A27:A29"/>
    <mergeCell ref="A12:A14"/>
    <mergeCell ref="A15:A17"/>
    <mergeCell ref="A18:A20"/>
    <mergeCell ref="A21:A2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2"/>
  <sheetViews>
    <sheetView topLeftCell="A21" workbookViewId="0">
      <selection activeCell="E3" sqref="E3"/>
    </sheetView>
  </sheetViews>
  <sheetFormatPr defaultRowHeight="15" x14ac:dyDescent="0.25"/>
  <cols>
    <col min="1" max="1" width="12" style="36" customWidth="1"/>
    <col min="2" max="2" width="22" customWidth="1"/>
    <col min="3" max="3" width="35.140625" customWidth="1"/>
    <col min="4" max="4" width="28" customWidth="1"/>
    <col min="5" max="5" width="24.5703125" customWidth="1"/>
    <col min="6" max="6" width="22.42578125" customWidth="1"/>
    <col min="7" max="7" width="11" bestFit="1" customWidth="1"/>
    <col min="8" max="8" width="9.85546875" customWidth="1"/>
    <col min="9" max="9" width="11" bestFit="1" customWidth="1"/>
    <col min="10" max="10" width="9.85546875" customWidth="1"/>
    <col min="11" max="11" width="11" bestFit="1" customWidth="1"/>
    <col min="12" max="12" width="10.28515625" customWidth="1"/>
    <col min="13" max="13" width="11" bestFit="1" customWidth="1"/>
    <col min="14" max="14" width="9.85546875" customWidth="1"/>
    <col min="15" max="15" width="11" bestFit="1" customWidth="1"/>
    <col min="16" max="16" width="9.85546875" customWidth="1"/>
    <col min="17" max="17" width="11" bestFit="1" customWidth="1"/>
    <col min="18" max="18" width="9.85546875" customWidth="1"/>
    <col min="19" max="19" width="11" bestFit="1" customWidth="1"/>
    <col min="20" max="20" width="9.85546875" customWidth="1"/>
    <col min="21" max="21" width="11" bestFit="1" customWidth="1"/>
  </cols>
  <sheetData>
    <row r="1" spans="1:6" ht="318" customHeight="1" thickBot="1" x14ac:dyDescent="0.3">
      <c r="A1" s="357"/>
      <c r="B1" s="357"/>
      <c r="C1" s="357"/>
      <c r="D1" s="357"/>
      <c r="E1" s="357"/>
      <c r="F1" s="357"/>
    </row>
    <row r="2" spans="1:6" s="50" customFormat="1" ht="75" x14ac:dyDescent="0.25">
      <c r="A2" s="87"/>
      <c r="B2" s="86"/>
      <c r="C2" s="86" t="s">
        <v>385</v>
      </c>
      <c r="D2" s="86" t="s">
        <v>384</v>
      </c>
      <c r="E2" s="86" t="s">
        <v>383</v>
      </c>
      <c r="F2" s="85" t="s">
        <v>382</v>
      </c>
    </row>
    <row r="3" spans="1:6" s="50" customFormat="1" x14ac:dyDescent="0.25">
      <c r="A3" s="358" t="s">
        <v>376</v>
      </c>
      <c r="B3" s="92" t="s">
        <v>381</v>
      </c>
      <c r="C3" s="94"/>
      <c r="D3" s="94"/>
      <c r="E3" s="94"/>
      <c r="F3" s="93">
        <f>'Порівняння платежів'!F3/'Вхідні дані'!$B$37</f>
        <v>4.8229163049653438</v>
      </c>
    </row>
    <row r="4" spans="1:6" x14ac:dyDescent="0.25">
      <c r="A4" s="359"/>
      <c r="B4" s="9" t="s">
        <v>365</v>
      </c>
      <c r="C4" s="91">
        <f>'Порівняння платежів'!C4/'Вхідні дані'!$B$37*30.29/'Вхідні дані'!$B$42</f>
        <v>10.056179775280901</v>
      </c>
      <c r="D4" s="91"/>
      <c r="E4" s="91"/>
      <c r="F4" s="90"/>
    </row>
    <row r="5" spans="1:6" x14ac:dyDescent="0.25">
      <c r="A5" s="361"/>
      <c r="B5" s="9" t="s">
        <v>364</v>
      </c>
      <c r="C5" s="91"/>
      <c r="D5" s="91">
        <f>'Порівняння платежів'!D5/'Вхідні дані'!$B$37*30.29/'Вхідні дані'!$B$42</f>
        <v>6.8382022471910089</v>
      </c>
      <c r="E5" s="91">
        <f>'Порівняння платежів'!E5/'Вхідні дані'!$B$37/6</f>
        <v>9.4372650723177394</v>
      </c>
      <c r="F5" s="90"/>
    </row>
    <row r="6" spans="1:6" x14ac:dyDescent="0.25">
      <c r="A6" s="358" t="s">
        <v>375</v>
      </c>
      <c r="B6" s="9" t="s">
        <v>381</v>
      </c>
      <c r="C6" s="91"/>
      <c r="D6" s="91"/>
      <c r="E6" s="91"/>
      <c r="F6" s="90"/>
    </row>
    <row r="7" spans="1:6" x14ac:dyDescent="0.25">
      <c r="A7" s="359"/>
      <c r="B7" s="9" t="s">
        <v>365</v>
      </c>
      <c r="C7" s="91">
        <f>'Порівняння платежів'!C7/'Вхідні дані'!$B$37*30.29/'Вхідні дані'!$B$42</f>
        <v>15.084269662921349</v>
      </c>
      <c r="D7" s="91"/>
      <c r="E7" s="91"/>
      <c r="F7" s="90"/>
    </row>
    <row r="8" spans="1:6" x14ac:dyDescent="0.25">
      <c r="A8" s="361"/>
      <c r="B8" s="9" t="s">
        <v>364</v>
      </c>
      <c r="C8" s="91"/>
      <c r="D8" s="91">
        <f>'Порівняння платежів'!D8/'Вхідні дані'!$B$37*30.29/'Вхідні дані'!$B$42</f>
        <v>10.257303370786515</v>
      </c>
      <c r="E8" s="91">
        <f>'Порівняння платежів'!E8/'Вхідні дані'!$B$37/6</f>
        <v>9.4372650723177394</v>
      </c>
      <c r="F8" s="90"/>
    </row>
    <row r="9" spans="1:6" x14ac:dyDescent="0.25">
      <c r="A9" s="358" t="s">
        <v>374</v>
      </c>
      <c r="B9" s="92" t="s">
        <v>381</v>
      </c>
      <c r="C9" s="91"/>
      <c r="D9" s="91"/>
      <c r="E9" s="91"/>
      <c r="F9" s="90"/>
    </row>
    <row r="10" spans="1:6" x14ac:dyDescent="0.25">
      <c r="A10" s="359"/>
      <c r="B10" s="9" t="s">
        <v>365</v>
      </c>
      <c r="C10" s="91">
        <f>'Порівняння платежів'!C10/'Вхідні дані'!$B$37*30.29/'Вхідні дані'!$B$42</f>
        <v>22.626404494382026</v>
      </c>
      <c r="D10" s="91"/>
      <c r="E10" s="91"/>
      <c r="F10" s="90"/>
    </row>
    <row r="11" spans="1:6" x14ac:dyDescent="0.25">
      <c r="A11" s="361"/>
      <c r="B11" s="9" t="s">
        <v>364</v>
      </c>
      <c r="C11" s="91"/>
      <c r="D11" s="91">
        <f>'Порівняння платежів'!D11/'Вхідні дані'!$B$37*30.29/'Вхідні дані'!$B$42</f>
        <v>15.385955056179771</v>
      </c>
      <c r="E11" s="91">
        <f>'Порівняння платежів'!E11/'Вхідні дані'!$B$37/6</f>
        <v>9.4372650723177394</v>
      </c>
      <c r="F11" s="90"/>
    </row>
    <row r="12" spans="1:6" x14ac:dyDescent="0.25">
      <c r="A12" s="358" t="s">
        <v>373</v>
      </c>
      <c r="B12" s="92" t="s">
        <v>381</v>
      </c>
      <c r="C12" s="91"/>
      <c r="D12" s="91"/>
      <c r="E12" s="91"/>
      <c r="F12" s="90"/>
    </row>
    <row r="13" spans="1:6" x14ac:dyDescent="0.25">
      <c r="A13" s="359"/>
      <c r="B13" s="9" t="s">
        <v>365</v>
      </c>
      <c r="C13" s="91">
        <f>'Порівняння платежів'!C13/'Вхідні дані'!$B$37*30.29/'Вхідні дані'!$B$42</f>
        <v>22.626404494382026</v>
      </c>
      <c r="D13" s="91"/>
      <c r="E13" s="91"/>
      <c r="F13" s="90"/>
    </row>
    <row r="14" spans="1:6" x14ac:dyDescent="0.25">
      <c r="A14" s="361"/>
      <c r="B14" s="9" t="s">
        <v>364</v>
      </c>
      <c r="C14" s="91"/>
      <c r="D14" s="91">
        <f>'Порівняння платежів'!D14/'Вхідні дані'!$B$37*30.29/'Вхідні дані'!$B$42</f>
        <v>15.385955056179771</v>
      </c>
      <c r="E14" s="91">
        <f>'Порівняння платежів'!E14/'Вхідні дані'!$B$37/6</f>
        <v>9.4372650723177394</v>
      </c>
      <c r="F14" s="90"/>
    </row>
    <row r="15" spans="1:6" x14ac:dyDescent="0.25">
      <c r="A15" s="358" t="s">
        <v>372</v>
      </c>
      <c r="B15" s="92" t="s">
        <v>381</v>
      </c>
      <c r="C15" s="91"/>
      <c r="D15" s="91"/>
      <c r="E15" s="91"/>
      <c r="F15" s="90"/>
    </row>
    <row r="16" spans="1:6" x14ac:dyDescent="0.25">
      <c r="A16" s="359"/>
      <c r="B16" s="9" t="s">
        <v>365</v>
      </c>
      <c r="C16" s="91">
        <f>'Порівняння платежів'!C16/'Вхідні дані'!$B$37*30.29/'Вхідні дані'!$B$42</f>
        <v>22.626404494382026</v>
      </c>
      <c r="D16" s="91"/>
      <c r="E16" s="91"/>
      <c r="F16" s="90"/>
    </row>
    <row r="17" spans="1:6" x14ac:dyDescent="0.25">
      <c r="A17" s="361"/>
      <c r="B17" s="9" t="s">
        <v>364</v>
      </c>
      <c r="C17" s="91"/>
      <c r="D17" s="91">
        <f>'Порівняння платежів'!D17/'Вхідні дані'!$B$37*30.29/'Вхідні дані'!$B$42</f>
        <v>15.385955056179775</v>
      </c>
      <c r="E17" s="91">
        <f>'Порівняння платежів'!E17/'Вхідні дані'!$B$37/6</f>
        <v>9.4372650723177394</v>
      </c>
      <c r="F17" s="90"/>
    </row>
    <row r="18" spans="1:6" x14ac:dyDescent="0.25">
      <c r="A18" s="358" t="s">
        <v>371</v>
      </c>
      <c r="B18" s="92" t="s">
        <v>381</v>
      </c>
      <c r="C18" s="91"/>
      <c r="D18" s="91"/>
      <c r="E18" s="91"/>
      <c r="F18" s="90"/>
    </row>
    <row r="19" spans="1:6" x14ac:dyDescent="0.25">
      <c r="A19" s="359"/>
      <c r="B19" s="9" t="s">
        <v>365</v>
      </c>
      <c r="C19" s="91">
        <f>'Порівняння платежів'!C19/'Вхідні дані'!$B$37*30.29/'Вхідні дані'!$B$42</f>
        <v>22.626404494382026</v>
      </c>
      <c r="D19" s="91"/>
      <c r="E19" s="91"/>
      <c r="F19" s="90"/>
    </row>
    <row r="20" spans="1:6" x14ac:dyDescent="0.25">
      <c r="A20" s="361"/>
      <c r="B20" s="9" t="s">
        <v>364</v>
      </c>
      <c r="C20" s="91"/>
      <c r="D20" s="91">
        <f>'Порівняння платежів'!D20/'Вхідні дані'!$B$37*30.29/'Вхідні дані'!$B$42</f>
        <v>15.385955056179775</v>
      </c>
      <c r="E20" s="91"/>
      <c r="F20" s="90"/>
    </row>
    <row r="21" spans="1:6" x14ac:dyDescent="0.25">
      <c r="A21" s="358" t="s">
        <v>370</v>
      </c>
      <c r="B21" s="92" t="s">
        <v>381</v>
      </c>
      <c r="C21" s="91"/>
      <c r="D21" s="91"/>
      <c r="E21" s="91"/>
      <c r="F21" s="90"/>
    </row>
    <row r="22" spans="1:6" x14ac:dyDescent="0.25">
      <c r="A22" s="359"/>
      <c r="B22" s="9" t="s">
        <v>365</v>
      </c>
      <c r="C22" s="91">
        <f>'Порівняння платежів'!C22/'Вхідні дані'!$B$37*30.29/'Вхідні дані'!$B$42</f>
        <v>22.626404494382026</v>
      </c>
      <c r="D22" s="91"/>
      <c r="E22" s="91"/>
      <c r="F22" s="90"/>
    </row>
    <row r="23" spans="1:6" x14ac:dyDescent="0.25">
      <c r="A23" s="361"/>
      <c r="B23" s="9" t="s">
        <v>364</v>
      </c>
      <c r="C23" s="91"/>
      <c r="D23" s="91">
        <f>'Порівняння платежів'!D23/'Вхідні дані'!$B$37*30.29/'Вхідні дані'!$B$42</f>
        <v>15.385955056179775</v>
      </c>
      <c r="E23" s="91"/>
      <c r="F23" s="90"/>
    </row>
    <row r="24" spans="1:6" x14ac:dyDescent="0.25">
      <c r="A24" s="358" t="s">
        <v>369</v>
      </c>
      <c r="B24" s="92" t="s">
        <v>381</v>
      </c>
      <c r="C24" s="91"/>
      <c r="D24" s="91"/>
      <c r="E24" s="91"/>
      <c r="F24" s="90"/>
    </row>
    <row r="25" spans="1:6" x14ac:dyDescent="0.25">
      <c r="A25" s="359"/>
      <c r="B25" s="9" t="s">
        <v>365</v>
      </c>
      <c r="C25" s="91">
        <f>'Порівняння платежів'!C25/'Вхідні дані'!$B$37*30.29/'Вхідні дані'!$B$42</f>
        <v>22.626404494382026</v>
      </c>
      <c r="D25" s="91"/>
      <c r="E25" s="91"/>
      <c r="F25" s="90"/>
    </row>
    <row r="26" spans="1:6" x14ac:dyDescent="0.25">
      <c r="A26" s="361"/>
      <c r="B26" s="9" t="s">
        <v>364</v>
      </c>
      <c r="C26" s="91"/>
      <c r="D26" s="91">
        <f>'Порівняння платежів'!D26/'Вхідні дані'!$B$37*30.29/'Вхідні дані'!$B$42</f>
        <v>15.385955056179775</v>
      </c>
      <c r="E26" s="91"/>
      <c r="F26" s="90"/>
    </row>
    <row r="27" spans="1:6" x14ac:dyDescent="0.25">
      <c r="A27" s="358" t="s">
        <v>368</v>
      </c>
      <c r="B27" s="92" t="s">
        <v>381</v>
      </c>
      <c r="C27" s="91"/>
      <c r="D27" s="91"/>
      <c r="E27" s="91"/>
      <c r="F27" s="90"/>
    </row>
    <row r="28" spans="1:6" x14ac:dyDescent="0.25">
      <c r="A28" s="359"/>
      <c r="B28" s="9" t="s">
        <v>365</v>
      </c>
      <c r="C28" s="91">
        <f>'Порівняння платежів'!C28/'Вхідні дані'!$B$37*30.29/'Вхідні дані'!$B$42</f>
        <v>22.626404494382026</v>
      </c>
      <c r="D28" s="91"/>
      <c r="E28" s="91"/>
      <c r="F28" s="90"/>
    </row>
    <row r="29" spans="1:6" x14ac:dyDescent="0.25">
      <c r="A29" s="361"/>
      <c r="B29" s="9" t="s">
        <v>364</v>
      </c>
      <c r="C29" s="91"/>
      <c r="D29" s="91">
        <f>'Порівняння платежів'!D29/'Вхідні дані'!$B$37*30.29/'Вхідні дані'!$B$42</f>
        <v>15.385955056179775</v>
      </c>
      <c r="E29" s="91"/>
      <c r="F29" s="90"/>
    </row>
    <row r="30" spans="1:6" x14ac:dyDescent="0.25">
      <c r="A30" s="358" t="s">
        <v>367</v>
      </c>
      <c r="B30" s="92" t="s">
        <v>381</v>
      </c>
      <c r="C30" s="91"/>
      <c r="D30" s="91"/>
      <c r="E30" s="91"/>
      <c r="F30" s="90"/>
    </row>
    <row r="31" spans="1:6" x14ac:dyDescent="0.25">
      <c r="A31" s="359"/>
      <c r="B31" s="9" t="s">
        <v>365</v>
      </c>
      <c r="C31" s="91">
        <f>'Порівняння платежів'!C31/'Вхідні дані'!$B$37*30.29/'Вхідні дані'!$B$42</f>
        <v>22.626404494382026</v>
      </c>
      <c r="D31" s="91"/>
      <c r="E31" s="91"/>
      <c r="F31" s="90"/>
    </row>
    <row r="32" spans="1:6" ht="15.75" thickBot="1" x14ac:dyDescent="0.3">
      <c r="A32" s="360"/>
      <c r="B32" s="81" t="s">
        <v>364</v>
      </c>
      <c r="C32" s="89"/>
      <c r="D32" s="89">
        <f>'Порівняння платежів'!D32/'Вхідні дані'!$B$37*30.29/'Вхідні дані'!$B$42</f>
        <v>15.385955056179775</v>
      </c>
      <c r="E32" s="89"/>
      <c r="F32" s="88"/>
    </row>
  </sheetData>
  <mergeCells count="11">
    <mergeCell ref="A1:F1"/>
    <mergeCell ref="A3:A5"/>
    <mergeCell ref="A6:A8"/>
    <mergeCell ref="A9:A11"/>
    <mergeCell ref="A12:A14"/>
    <mergeCell ref="A30:A32"/>
    <mergeCell ref="A15:A17"/>
    <mergeCell ref="A18:A20"/>
    <mergeCell ref="A21:A23"/>
    <mergeCell ref="A24:A26"/>
    <mergeCell ref="A27:A29"/>
  </mergeCells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38"/>
  <sheetViews>
    <sheetView topLeftCell="A109" workbookViewId="0">
      <selection activeCell="D126" sqref="D126"/>
    </sheetView>
  </sheetViews>
  <sheetFormatPr defaultRowHeight="15" x14ac:dyDescent="0.25"/>
  <cols>
    <col min="1" max="1" width="55.140625" customWidth="1"/>
    <col min="2" max="2" width="33.5703125" customWidth="1"/>
    <col min="3" max="3" width="31" customWidth="1"/>
    <col min="4" max="4" width="46.28515625" customWidth="1"/>
  </cols>
  <sheetData>
    <row r="1" spans="1:3" ht="119.25" customHeight="1" x14ac:dyDescent="0.25">
      <c r="A1" s="364" t="s">
        <v>595</v>
      </c>
      <c r="B1" s="365"/>
      <c r="C1" s="366"/>
    </row>
    <row r="2" spans="1:3" s="36" customFormat="1" x14ac:dyDescent="0.25">
      <c r="A2" s="110" t="s">
        <v>594</v>
      </c>
      <c r="B2" s="22" t="s">
        <v>593</v>
      </c>
      <c r="C2" s="109" t="s">
        <v>592</v>
      </c>
    </row>
    <row r="3" spans="1:3" x14ac:dyDescent="0.25">
      <c r="A3" s="106" t="s">
        <v>591</v>
      </c>
      <c r="B3" s="9"/>
      <c r="C3" s="102"/>
    </row>
    <row r="4" spans="1:3" x14ac:dyDescent="0.25">
      <c r="A4" s="105" t="s">
        <v>129</v>
      </c>
      <c r="B4" s="9"/>
      <c r="C4" s="102"/>
    </row>
    <row r="5" spans="1:3" ht="30" x14ac:dyDescent="0.25">
      <c r="A5" s="104" t="s">
        <v>590</v>
      </c>
      <c r="B5" s="103">
        <v>334.96805709331198</v>
      </c>
      <c r="C5" s="102">
        <v>344.79</v>
      </c>
    </row>
    <row r="6" spans="1:3" x14ac:dyDescent="0.25">
      <c r="A6" s="104" t="s">
        <v>589</v>
      </c>
      <c r="B6" s="103">
        <v>689.5655258065741</v>
      </c>
      <c r="C6" s="102">
        <v>699.54</v>
      </c>
    </row>
    <row r="7" spans="1:3" x14ac:dyDescent="0.25">
      <c r="A7" s="104" t="s">
        <v>588</v>
      </c>
      <c r="B7" s="103">
        <v>761.26819940464259</v>
      </c>
      <c r="C7" s="102">
        <v>779.4</v>
      </c>
    </row>
    <row r="8" spans="1:3" x14ac:dyDescent="0.25">
      <c r="A8" s="104" t="s">
        <v>587</v>
      </c>
      <c r="B8" s="103">
        <v>638.40162388028307</v>
      </c>
      <c r="C8" s="107">
        <f>B8</f>
        <v>638.40162388028307</v>
      </c>
    </row>
    <row r="9" spans="1:3" x14ac:dyDescent="0.25">
      <c r="A9" s="104" t="s">
        <v>586</v>
      </c>
      <c r="B9" s="103">
        <v>508.69774690717236</v>
      </c>
      <c r="C9" s="102">
        <v>521</v>
      </c>
    </row>
    <row r="10" spans="1:3" x14ac:dyDescent="0.25">
      <c r="A10" s="106" t="s">
        <v>585</v>
      </c>
      <c r="B10" s="9">
        <v>0</v>
      </c>
      <c r="C10" s="102"/>
    </row>
    <row r="11" spans="1:3" x14ac:dyDescent="0.25">
      <c r="A11" s="105" t="s">
        <v>129</v>
      </c>
      <c r="B11" s="9">
        <v>0</v>
      </c>
      <c r="C11" s="102"/>
    </row>
    <row r="12" spans="1:3" ht="30" x14ac:dyDescent="0.25">
      <c r="A12" s="104" t="s">
        <v>584</v>
      </c>
      <c r="B12" s="103">
        <v>690.3358490112297</v>
      </c>
      <c r="C12" s="102">
        <v>706.58</v>
      </c>
    </row>
    <row r="13" spans="1:3" x14ac:dyDescent="0.25">
      <c r="A13" s="104" t="s">
        <v>583</v>
      </c>
      <c r="B13" s="103">
        <v>681.95583324391328</v>
      </c>
      <c r="C13" s="102">
        <v>691.84</v>
      </c>
    </row>
    <row r="14" spans="1:3" ht="30" x14ac:dyDescent="0.25">
      <c r="A14" s="104" t="s">
        <v>582</v>
      </c>
      <c r="B14" s="103">
        <v>697.35559415472744</v>
      </c>
      <c r="C14" s="102">
        <v>710.9</v>
      </c>
    </row>
    <row r="15" spans="1:3" x14ac:dyDescent="0.25">
      <c r="A15" s="104" t="s">
        <v>581</v>
      </c>
      <c r="B15" s="103">
        <v>701.21009392657368</v>
      </c>
      <c r="C15" s="102">
        <v>712.89</v>
      </c>
    </row>
    <row r="16" spans="1:3" x14ac:dyDescent="0.25">
      <c r="A16" s="104" t="s">
        <v>580</v>
      </c>
      <c r="B16" s="103">
        <v>507.5064310828252</v>
      </c>
      <c r="C16" s="108">
        <f>B16</f>
        <v>507.5064310828252</v>
      </c>
    </row>
    <row r="17" spans="1:3" x14ac:dyDescent="0.25">
      <c r="A17" s="106" t="s">
        <v>579</v>
      </c>
      <c r="B17" s="9">
        <v>0</v>
      </c>
      <c r="C17" s="102"/>
    </row>
    <row r="18" spans="1:3" x14ac:dyDescent="0.25">
      <c r="A18" s="105" t="s">
        <v>129</v>
      </c>
      <c r="B18" s="9">
        <v>0</v>
      </c>
      <c r="C18" s="102"/>
    </row>
    <row r="19" spans="1:3" x14ac:dyDescent="0.25">
      <c r="A19" s="104" t="s">
        <v>578</v>
      </c>
      <c r="B19" s="103">
        <v>653.19697475903206</v>
      </c>
      <c r="C19" s="102">
        <v>667.83</v>
      </c>
    </row>
    <row r="20" spans="1:3" ht="30" x14ac:dyDescent="0.25">
      <c r="A20" s="104" t="s">
        <v>577</v>
      </c>
      <c r="B20" s="103">
        <v>354.68909262642012</v>
      </c>
      <c r="C20" s="102">
        <v>360.86</v>
      </c>
    </row>
    <row r="21" spans="1:3" x14ac:dyDescent="0.25">
      <c r="A21" s="104" t="s">
        <v>576</v>
      </c>
      <c r="B21" s="103">
        <v>668.30399999999997</v>
      </c>
      <c r="C21" s="102">
        <v>686.2</v>
      </c>
    </row>
    <row r="22" spans="1:3" x14ac:dyDescent="0.25">
      <c r="A22" s="104" t="s">
        <v>575</v>
      </c>
      <c r="B22" s="103">
        <v>738.00497201696419</v>
      </c>
      <c r="C22" s="108">
        <f>B22</f>
        <v>738.00497201696419</v>
      </c>
    </row>
    <row r="23" spans="1:3" x14ac:dyDescent="0.25">
      <c r="A23" s="104" t="s">
        <v>574</v>
      </c>
      <c r="B23" s="103">
        <v>466.02039798178595</v>
      </c>
      <c r="C23" s="102">
        <v>481.1</v>
      </c>
    </row>
    <row r="24" spans="1:3" x14ac:dyDescent="0.25">
      <c r="A24" s="104" t="s">
        <v>573</v>
      </c>
      <c r="B24" s="103">
        <v>693.36688064952523</v>
      </c>
      <c r="C24" s="102">
        <v>712.81</v>
      </c>
    </row>
    <row r="25" spans="1:3" x14ac:dyDescent="0.25">
      <c r="A25" s="104" t="s">
        <v>572</v>
      </c>
      <c r="B25" s="103">
        <v>695.18330244580272</v>
      </c>
      <c r="C25" s="102">
        <v>707.63</v>
      </c>
    </row>
    <row r="26" spans="1:3" x14ac:dyDescent="0.25">
      <c r="A26" s="104" t="s">
        <v>571</v>
      </c>
      <c r="B26" s="103">
        <v>742.57699228970228</v>
      </c>
      <c r="C26" s="102">
        <v>764.02</v>
      </c>
    </row>
    <row r="27" spans="1:3" x14ac:dyDescent="0.25">
      <c r="A27" s="104" t="s">
        <v>570</v>
      </c>
      <c r="B27" s="103">
        <v>707.60399999999993</v>
      </c>
      <c r="C27" s="102">
        <v>725.48</v>
      </c>
    </row>
    <row r="28" spans="1:3" x14ac:dyDescent="0.25">
      <c r="A28" s="104" t="s">
        <v>569</v>
      </c>
      <c r="B28" s="103">
        <v>944.66508747662886</v>
      </c>
      <c r="C28" s="102">
        <v>971.34</v>
      </c>
    </row>
    <row r="29" spans="1:3" x14ac:dyDescent="0.25">
      <c r="A29" s="104" t="s">
        <v>568</v>
      </c>
      <c r="B29" s="103">
        <v>702.1774537106611</v>
      </c>
      <c r="C29" s="102">
        <v>720.15</v>
      </c>
    </row>
    <row r="30" spans="1:3" x14ac:dyDescent="0.25">
      <c r="A30" s="104" t="s">
        <v>567</v>
      </c>
      <c r="B30" s="103">
        <v>674.79600000000005</v>
      </c>
      <c r="C30" s="102">
        <v>696.15</v>
      </c>
    </row>
    <row r="31" spans="1:3" x14ac:dyDescent="0.25">
      <c r="A31" s="104" t="s">
        <v>566</v>
      </c>
      <c r="B31" s="103">
        <v>773.61874978116782</v>
      </c>
      <c r="C31" s="102">
        <v>792.4</v>
      </c>
    </row>
    <row r="32" spans="1:3" ht="30" x14ac:dyDescent="0.25">
      <c r="A32" s="104" t="s">
        <v>565</v>
      </c>
      <c r="B32" s="103">
        <v>688.6100218529017</v>
      </c>
      <c r="C32" s="102">
        <v>702.67</v>
      </c>
    </row>
    <row r="33" spans="1:3" x14ac:dyDescent="0.25">
      <c r="A33" s="104" t="s">
        <v>564</v>
      </c>
      <c r="B33" s="103">
        <v>385.44272513651759</v>
      </c>
      <c r="C33" s="102">
        <v>394.07</v>
      </c>
    </row>
    <row r="34" spans="1:3" x14ac:dyDescent="0.25">
      <c r="A34" s="104" t="s">
        <v>563</v>
      </c>
      <c r="B34" s="103">
        <v>396.56549051253211</v>
      </c>
      <c r="C34" s="102">
        <v>421.73</v>
      </c>
    </row>
    <row r="35" spans="1:3" ht="30" x14ac:dyDescent="0.25">
      <c r="A35" s="104" t="s">
        <v>562</v>
      </c>
      <c r="B35" s="103">
        <v>409.34804942283853</v>
      </c>
      <c r="C35" s="102">
        <v>414.67</v>
      </c>
    </row>
    <row r="36" spans="1:3" x14ac:dyDescent="0.25">
      <c r="A36" s="104" t="s">
        <v>561</v>
      </c>
      <c r="B36" s="103">
        <v>608.65273502149626</v>
      </c>
      <c r="C36" s="102">
        <v>619.52</v>
      </c>
    </row>
    <row r="37" spans="1:3" ht="30" x14ac:dyDescent="0.25">
      <c r="A37" s="104" t="s">
        <v>560</v>
      </c>
      <c r="B37" s="103"/>
      <c r="C37" s="102">
        <v>680.21</v>
      </c>
    </row>
    <row r="38" spans="1:3" x14ac:dyDescent="0.25">
      <c r="A38" s="106" t="s">
        <v>559</v>
      </c>
      <c r="B38" s="9">
        <v>0</v>
      </c>
      <c r="C38" s="102"/>
    </row>
    <row r="39" spans="1:3" x14ac:dyDescent="0.25">
      <c r="A39" s="105" t="s">
        <v>129</v>
      </c>
      <c r="B39" s="9">
        <v>0</v>
      </c>
      <c r="C39" s="102"/>
    </row>
    <row r="40" spans="1:3" ht="30" x14ac:dyDescent="0.25">
      <c r="A40" s="104" t="s">
        <v>558</v>
      </c>
      <c r="B40" s="103">
        <v>669.11436563875543</v>
      </c>
      <c r="C40" s="102">
        <v>684.05</v>
      </c>
    </row>
    <row r="41" spans="1:3" x14ac:dyDescent="0.25">
      <c r="A41" s="104" t="s">
        <v>557</v>
      </c>
      <c r="B41" s="103">
        <v>684.12489581826878</v>
      </c>
      <c r="C41" s="102">
        <v>704.61</v>
      </c>
    </row>
    <row r="42" spans="1:3" x14ac:dyDescent="0.25">
      <c r="A42" s="104" t="s">
        <v>556</v>
      </c>
      <c r="B42" s="103">
        <v>645.98527301802767</v>
      </c>
      <c r="C42" s="102">
        <v>659.54</v>
      </c>
    </row>
    <row r="43" spans="1:3" x14ac:dyDescent="0.25">
      <c r="A43" s="104" t="s">
        <v>555</v>
      </c>
      <c r="B43" s="103">
        <v>746.20799999999997</v>
      </c>
      <c r="C43" s="102">
        <v>756.53</v>
      </c>
    </row>
    <row r="44" spans="1:3" x14ac:dyDescent="0.25">
      <c r="A44" s="104" t="s">
        <v>554</v>
      </c>
      <c r="B44" s="103">
        <v>753.55290628468288</v>
      </c>
      <c r="C44" s="102">
        <v>766.48</v>
      </c>
    </row>
    <row r="45" spans="1:3" x14ac:dyDescent="0.25">
      <c r="A45" s="104" t="s">
        <v>553</v>
      </c>
      <c r="B45" s="103">
        <v>738.73392645795695</v>
      </c>
      <c r="C45" s="102">
        <v>754.67</v>
      </c>
    </row>
    <row r="46" spans="1:3" x14ac:dyDescent="0.25">
      <c r="A46" s="104" t="s">
        <v>552</v>
      </c>
      <c r="B46" s="103">
        <v>779.5600818216592</v>
      </c>
      <c r="C46" s="102">
        <v>798.72</v>
      </c>
    </row>
    <row r="47" spans="1:3" x14ac:dyDescent="0.25">
      <c r="A47" s="104" t="s">
        <v>551</v>
      </c>
      <c r="B47" s="103">
        <v>788.23199999999997</v>
      </c>
      <c r="C47" s="102">
        <v>814.59</v>
      </c>
    </row>
    <row r="48" spans="1:3" x14ac:dyDescent="0.25">
      <c r="A48" s="104" t="s">
        <v>550</v>
      </c>
      <c r="B48" s="103">
        <v>310.21199999999999</v>
      </c>
      <c r="C48" s="108">
        <f>B48</f>
        <v>310.21199999999999</v>
      </c>
    </row>
    <row r="49" spans="1:3" x14ac:dyDescent="0.25">
      <c r="A49" s="104" t="s">
        <v>549</v>
      </c>
      <c r="B49" s="103">
        <v>461.91899063712629</v>
      </c>
      <c r="C49" s="102">
        <v>467</v>
      </c>
    </row>
    <row r="50" spans="1:3" x14ac:dyDescent="0.25">
      <c r="A50" s="104" t="s">
        <v>548</v>
      </c>
      <c r="B50" s="103">
        <v>645.86716386356989</v>
      </c>
      <c r="C50" s="102">
        <v>660.3</v>
      </c>
    </row>
    <row r="51" spans="1:3" x14ac:dyDescent="0.25">
      <c r="A51" s="104" t="s">
        <v>547</v>
      </c>
      <c r="B51" s="103">
        <v>693.98094757170236</v>
      </c>
      <c r="C51" s="102">
        <v>705.08</v>
      </c>
    </row>
    <row r="52" spans="1:3" x14ac:dyDescent="0.25">
      <c r="A52" s="104" t="s">
        <v>546</v>
      </c>
      <c r="B52" s="103">
        <v>478.6665028674696</v>
      </c>
      <c r="C52" s="102">
        <v>487.54</v>
      </c>
    </row>
    <row r="53" spans="1:3" x14ac:dyDescent="0.25">
      <c r="A53" s="104" t="s">
        <v>545</v>
      </c>
      <c r="B53" s="103">
        <v>654.05999999999995</v>
      </c>
      <c r="C53" s="102">
        <v>667.35</v>
      </c>
    </row>
    <row r="54" spans="1:3" x14ac:dyDescent="0.25">
      <c r="A54" s="104" t="s">
        <v>544</v>
      </c>
      <c r="B54" s="103">
        <v>646.65150943508377</v>
      </c>
      <c r="C54" s="102">
        <v>661.06</v>
      </c>
    </row>
    <row r="55" spans="1:3" x14ac:dyDescent="0.25">
      <c r="A55" s="104" t="s">
        <v>543</v>
      </c>
      <c r="B55" s="103">
        <v>513.93450286746952</v>
      </c>
      <c r="C55" s="102">
        <v>524.91999999999996</v>
      </c>
    </row>
    <row r="56" spans="1:3" x14ac:dyDescent="0.25">
      <c r="A56" s="104" t="s">
        <v>542</v>
      </c>
      <c r="B56" s="103">
        <v>477.37148223421758</v>
      </c>
      <c r="C56" s="102">
        <v>484.14</v>
      </c>
    </row>
    <row r="57" spans="1:3" x14ac:dyDescent="0.25">
      <c r="A57" s="104" t="s">
        <v>541</v>
      </c>
      <c r="B57" s="103">
        <v>906.0979257810526</v>
      </c>
      <c r="C57" s="102">
        <v>926.03</v>
      </c>
    </row>
    <row r="58" spans="1:3" x14ac:dyDescent="0.25">
      <c r="A58" s="106" t="s">
        <v>540</v>
      </c>
      <c r="B58" s="9">
        <v>0</v>
      </c>
      <c r="C58" s="102"/>
    </row>
    <row r="59" spans="1:3" x14ac:dyDescent="0.25">
      <c r="A59" s="105" t="s">
        <v>129</v>
      </c>
      <c r="B59" s="9">
        <v>0</v>
      </c>
      <c r="C59" s="102"/>
    </row>
    <row r="60" spans="1:3" x14ac:dyDescent="0.25">
      <c r="A60" s="104" t="s">
        <v>539</v>
      </c>
      <c r="B60" s="103">
        <v>672.62921477019404</v>
      </c>
      <c r="C60" s="102">
        <v>686.12</v>
      </c>
    </row>
    <row r="61" spans="1:3" x14ac:dyDescent="0.25">
      <c r="A61" s="104" t="s">
        <v>538</v>
      </c>
      <c r="B61" s="103">
        <v>613.476</v>
      </c>
      <c r="C61" s="102">
        <v>623.49</v>
      </c>
    </row>
    <row r="62" spans="1:3" x14ac:dyDescent="0.25">
      <c r="A62" s="104" t="s">
        <v>537</v>
      </c>
      <c r="B62" s="103">
        <v>682.19374386057632</v>
      </c>
      <c r="C62" s="102">
        <v>702.77</v>
      </c>
    </row>
    <row r="63" spans="1:3" ht="30" x14ac:dyDescent="0.25">
      <c r="A63" s="104" t="s">
        <v>536</v>
      </c>
      <c r="B63" s="103">
        <v>615.37912591522456</v>
      </c>
      <c r="C63" s="102">
        <v>626.72</v>
      </c>
    </row>
    <row r="64" spans="1:3" x14ac:dyDescent="0.25">
      <c r="A64" s="104" t="s">
        <v>535</v>
      </c>
      <c r="B64" s="103">
        <v>617.18215595756669</v>
      </c>
      <c r="C64" s="102">
        <v>633.79</v>
      </c>
    </row>
    <row r="65" spans="1:3" x14ac:dyDescent="0.25">
      <c r="A65" s="106" t="s">
        <v>534</v>
      </c>
      <c r="B65" s="9">
        <v>0</v>
      </c>
      <c r="C65" s="102"/>
    </row>
    <row r="66" spans="1:3" x14ac:dyDescent="0.25">
      <c r="A66" s="105" t="s">
        <v>129</v>
      </c>
      <c r="B66" s="9">
        <v>0</v>
      </c>
      <c r="C66" s="102"/>
    </row>
    <row r="67" spans="1:3" x14ac:dyDescent="0.25">
      <c r="A67" s="104" t="s">
        <v>533</v>
      </c>
      <c r="B67" s="103">
        <v>613.65599999999995</v>
      </c>
      <c r="C67" s="102">
        <v>622.49</v>
      </c>
    </row>
    <row r="68" spans="1:3" x14ac:dyDescent="0.25">
      <c r="A68" s="104" t="s">
        <v>532</v>
      </c>
      <c r="B68" s="103">
        <v>642.48595277574441</v>
      </c>
      <c r="C68" s="107">
        <f>B68</f>
        <v>642.48595277574441</v>
      </c>
    </row>
    <row r="69" spans="1:3" x14ac:dyDescent="0.25">
      <c r="A69" s="104" t="s">
        <v>531</v>
      </c>
      <c r="B69" s="103">
        <v>685.50196022261071</v>
      </c>
      <c r="C69" s="102">
        <v>704.31</v>
      </c>
    </row>
    <row r="70" spans="1:3" x14ac:dyDescent="0.25">
      <c r="A70" s="104" t="s">
        <v>530</v>
      </c>
      <c r="B70" s="103">
        <v>762.69189359077996</v>
      </c>
      <c r="C70" s="102">
        <v>782.38</v>
      </c>
    </row>
    <row r="71" spans="1:3" x14ac:dyDescent="0.25">
      <c r="A71" s="104" t="s">
        <v>529</v>
      </c>
      <c r="B71" s="103">
        <v>614.86407244231623</v>
      </c>
      <c r="C71" s="108">
        <f>B71</f>
        <v>614.86407244231623</v>
      </c>
    </row>
    <row r="72" spans="1:3" x14ac:dyDescent="0.25">
      <c r="A72" s="104" t="s">
        <v>528</v>
      </c>
      <c r="B72" s="103">
        <v>617.25945646851449</v>
      </c>
      <c r="C72" s="107">
        <f>B72</f>
        <v>617.25945646851449</v>
      </c>
    </row>
    <row r="73" spans="1:3" x14ac:dyDescent="0.25">
      <c r="A73" s="106" t="s">
        <v>527</v>
      </c>
      <c r="B73" s="9">
        <v>0</v>
      </c>
      <c r="C73" s="102"/>
    </row>
    <row r="74" spans="1:3" x14ac:dyDescent="0.25">
      <c r="A74" s="105" t="s">
        <v>129</v>
      </c>
      <c r="B74" s="9">
        <v>0</v>
      </c>
      <c r="C74" s="102"/>
    </row>
    <row r="75" spans="1:3" x14ac:dyDescent="0.25">
      <c r="A75" s="104" t="s">
        <v>526</v>
      </c>
      <c r="B75" s="103">
        <v>632.88</v>
      </c>
      <c r="C75" s="107">
        <f>B75</f>
        <v>632.88</v>
      </c>
    </row>
    <row r="76" spans="1:3" x14ac:dyDescent="0.25">
      <c r="A76" s="104" t="s">
        <v>525</v>
      </c>
      <c r="B76" s="103">
        <v>761.81329029976666</v>
      </c>
      <c r="C76" s="102">
        <v>779.23</v>
      </c>
    </row>
    <row r="77" spans="1:3" x14ac:dyDescent="0.25">
      <c r="A77" s="104" t="s">
        <v>524</v>
      </c>
      <c r="B77" s="103">
        <v>709.25899750134658</v>
      </c>
      <c r="C77" s="107">
        <f>B77</f>
        <v>709.25899750134658</v>
      </c>
    </row>
    <row r="78" spans="1:3" x14ac:dyDescent="0.25">
      <c r="A78" s="106" t="s">
        <v>523</v>
      </c>
      <c r="B78" s="9">
        <v>0</v>
      </c>
      <c r="C78" s="102"/>
    </row>
    <row r="79" spans="1:3" x14ac:dyDescent="0.25">
      <c r="A79" s="105" t="s">
        <v>129</v>
      </c>
      <c r="B79" s="9">
        <v>0</v>
      </c>
      <c r="C79" s="102"/>
    </row>
    <row r="80" spans="1:3" x14ac:dyDescent="0.25">
      <c r="A80" s="104" t="s">
        <v>522</v>
      </c>
      <c r="B80" s="103">
        <v>689.46123947374372</v>
      </c>
      <c r="C80" s="102">
        <v>708.41</v>
      </c>
    </row>
    <row r="81" spans="1:3" ht="30" x14ac:dyDescent="0.25">
      <c r="A81" s="104" t="s">
        <v>521</v>
      </c>
      <c r="B81" s="103">
        <v>659.16622482945809</v>
      </c>
      <c r="C81" s="102">
        <v>677.09</v>
      </c>
    </row>
    <row r="82" spans="1:3" x14ac:dyDescent="0.25">
      <c r="A82" s="104" t="s">
        <v>520</v>
      </c>
      <c r="B82" s="103">
        <v>616.30799999999999</v>
      </c>
      <c r="C82" s="102">
        <v>627.36</v>
      </c>
    </row>
    <row r="83" spans="1:3" x14ac:dyDescent="0.25">
      <c r="A83" s="104" t="s">
        <v>519</v>
      </c>
      <c r="B83" s="103">
        <v>822.76173500209575</v>
      </c>
      <c r="C83" s="102">
        <v>835.09</v>
      </c>
    </row>
    <row r="84" spans="1:3" ht="30" x14ac:dyDescent="0.25">
      <c r="A84" s="104" t="s">
        <v>518</v>
      </c>
      <c r="B84" s="103">
        <v>671.94532668396039</v>
      </c>
      <c r="C84" s="102">
        <v>687.97</v>
      </c>
    </row>
    <row r="85" spans="1:3" ht="30" x14ac:dyDescent="0.25">
      <c r="A85" s="104" t="s">
        <v>517</v>
      </c>
      <c r="B85" s="103">
        <v>644.38253296875303</v>
      </c>
      <c r="C85" s="102">
        <v>655</v>
      </c>
    </row>
    <row r="86" spans="1:3" ht="30" x14ac:dyDescent="0.25">
      <c r="A86" s="104" t="s">
        <v>516</v>
      </c>
      <c r="B86" s="103">
        <v>675.04623940483737</v>
      </c>
      <c r="C86" s="102">
        <v>689.6</v>
      </c>
    </row>
    <row r="87" spans="1:3" x14ac:dyDescent="0.25">
      <c r="A87" s="104" t="s">
        <v>515</v>
      </c>
      <c r="B87" s="103">
        <v>645.93212391007796</v>
      </c>
      <c r="C87" s="102">
        <v>659.65</v>
      </c>
    </row>
    <row r="88" spans="1:3" x14ac:dyDescent="0.25">
      <c r="A88" s="104" t="s">
        <v>514</v>
      </c>
      <c r="B88" s="103">
        <v>693.10735213860414</v>
      </c>
      <c r="C88" s="102">
        <v>706.59</v>
      </c>
    </row>
    <row r="89" spans="1:3" x14ac:dyDescent="0.25">
      <c r="A89" s="104" t="s">
        <v>513</v>
      </c>
      <c r="B89" s="103">
        <v>567.54967991819069</v>
      </c>
      <c r="C89" s="108">
        <f>B89</f>
        <v>567.54967991819069</v>
      </c>
    </row>
    <row r="90" spans="1:3" x14ac:dyDescent="0.25">
      <c r="A90" s="104" t="s">
        <v>512</v>
      </c>
      <c r="B90" s="103">
        <v>717.34467362947169</v>
      </c>
      <c r="C90" s="102">
        <v>731.05</v>
      </c>
    </row>
    <row r="91" spans="1:3" x14ac:dyDescent="0.25">
      <c r="A91" s="106" t="s">
        <v>297</v>
      </c>
      <c r="B91" s="9">
        <v>0</v>
      </c>
      <c r="C91" s="102"/>
    </row>
    <row r="92" spans="1:3" x14ac:dyDescent="0.25">
      <c r="A92" s="105" t="s">
        <v>129</v>
      </c>
      <c r="B92" s="9">
        <v>0</v>
      </c>
      <c r="C92" s="102"/>
    </row>
    <row r="93" spans="1:3" x14ac:dyDescent="0.25">
      <c r="A93" s="104" t="s">
        <v>295</v>
      </c>
      <c r="B93" s="103">
        <v>637.32000000000005</v>
      </c>
      <c r="C93" s="102">
        <v>657.24</v>
      </c>
    </row>
    <row r="94" spans="1:3" x14ac:dyDescent="0.25">
      <c r="A94" s="104" t="s">
        <v>511</v>
      </c>
      <c r="B94" s="103">
        <v>616.38026999037288</v>
      </c>
      <c r="C94" s="102">
        <v>639.17999999999995</v>
      </c>
    </row>
    <row r="95" spans="1:3" x14ac:dyDescent="0.25">
      <c r="A95" s="104" t="s">
        <v>510</v>
      </c>
      <c r="B95" s="103">
        <v>522.91865460744157</v>
      </c>
      <c r="C95" s="102">
        <v>537.53</v>
      </c>
    </row>
    <row r="96" spans="1:3" x14ac:dyDescent="0.25">
      <c r="A96" s="106" t="s">
        <v>509</v>
      </c>
      <c r="B96" s="9">
        <v>0</v>
      </c>
      <c r="C96" s="102"/>
    </row>
    <row r="97" spans="1:3" x14ac:dyDescent="0.25">
      <c r="A97" s="105" t="s">
        <v>129</v>
      </c>
      <c r="B97" s="9">
        <v>0</v>
      </c>
      <c r="C97" s="102"/>
    </row>
    <row r="98" spans="1:3" ht="30" x14ac:dyDescent="0.25">
      <c r="A98" s="104" t="s">
        <v>508</v>
      </c>
      <c r="B98" s="103">
        <v>735.46877849897965</v>
      </c>
      <c r="C98" s="102">
        <v>757.93</v>
      </c>
    </row>
    <row r="99" spans="1:3" x14ac:dyDescent="0.25">
      <c r="A99" s="104" t="s">
        <v>507</v>
      </c>
      <c r="B99" s="103">
        <v>658.73410924209372</v>
      </c>
      <c r="C99" s="102">
        <v>673.73</v>
      </c>
    </row>
    <row r="100" spans="1:3" ht="18" customHeight="1" x14ac:dyDescent="0.25">
      <c r="A100" s="104" t="s">
        <v>506</v>
      </c>
      <c r="B100" s="103">
        <v>696.06054805929966</v>
      </c>
      <c r="C100" s="102">
        <v>711.61</v>
      </c>
    </row>
    <row r="101" spans="1:3" x14ac:dyDescent="0.25">
      <c r="A101" s="104" t="s">
        <v>505</v>
      </c>
      <c r="B101" s="103">
        <v>638.88145640264463</v>
      </c>
      <c r="C101" s="102">
        <v>647.27</v>
      </c>
    </row>
    <row r="102" spans="1:3" x14ac:dyDescent="0.25">
      <c r="A102" s="104" t="s">
        <v>504</v>
      </c>
      <c r="B102" s="103">
        <v>619.1553022557506</v>
      </c>
      <c r="C102" s="102">
        <v>628.79</v>
      </c>
    </row>
    <row r="103" spans="1:3" x14ac:dyDescent="0.25">
      <c r="A103" s="106" t="s">
        <v>503</v>
      </c>
      <c r="B103" s="9">
        <v>0</v>
      </c>
      <c r="C103" s="102"/>
    </row>
    <row r="104" spans="1:3" x14ac:dyDescent="0.25">
      <c r="A104" s="105" t="s">
        <v>129</v>
      </c>
      <c r="B104" s="9">
        <v>0</v>
      </c>
      <c r="C104" s="102"/>
    </row>
    <row r="105" spans="1:3" x14ac:dyDescent="0.25">
      <c r="A105" s="104" t="s">
        <v>502</v>
      </c>
      <c r="B105" s="103">
        <v>731.76547251503359</v>
      </c>
      <c r="C105" s="108">
        <f>B105</f>
        <v>731.76547251503359</v>
      </c>
    </row>
    <row r="106" spans="1:3" x14ac:dyDescent="0.25">
      <c r="A106" s="104" t="s">
        <v>501</v>
      </c>
      <c r="B106" s="103">
        <v>776.01599999999996</v>
      </c>
      <c r="C106" s="102">
        <v>794.71</v>
      </c>
    </row>
    <row r="107" spans="1:3" x14ac:dyDescent="0.25">
      <c r="A107" s="104" t="s">
        <v>500</v>
      </c>
      <c r="B107" s="103">
        <v>716.85147205070746</v>
      </c>
      <c r="C107" s="108">
        <f>B107</f>
        <v>716.85147205070746</v>
      </c>
    </row>
    <row r="108" spans="1:3" ht="30" x14ac:dyDescent="0.25">
      <c r="A108" s="104" t="s">
        <v>499</v>
      </c>
      <c r="B108" s="103">
        <v>740.08011431085004</v>
      </c>
      <c r="C108" s="108">
        <f>B108</f>
        <v>740.08011431085004</v>
      </c>
    </row>
    <row r="109" spans="1:3" x14ac:dyDescent="0.25">
      <c r="A109" s="104" t="s">
        <v>498</v>
      </c>
      <c r="B109" s="103">
        <v>657.8512672783952</v>
      </c>
      <c r="C109" s="102">
        <v>677.13</v>
      </c>
    </row>
    <row r="110" spans="1:3" x14ac:dyDescent="0.25">
      <c r="A110" s="104" t="s">
        <v>497</v>
      </c>
      <c r="B110" s="103">
        <v>701.66486540482106</v>
      </c>
      <c r="C110" s="108">
        <f>B110</f>
        <v>701.66486540482106</v>
      </c>
    </row>
    <row r="111" spans="1:3" ht="30" x14ac:dyDescent="0.25">
      <c r="A111" s="104" t="s">
        <v>496</v>
      </c>
      <c r="B111" s="103">
        <v>685.95212534402526</v>
      </c>
      <c r="C111" s="102">
        <v>702.06</v>
      </c>
    </row>
    <row r="112" spans="1:3" x14ac:dyDescent="0.25">
      <c r="A112" s="104" t="s">
        <v>495</v>
      </c>
      <c r="B112" s="103">
        <v>666.15707845535724</v>
      </c>
      <c r="C112" s="102">
        <v>686.95</v>
      </c>
    </row>
    <row r="113" spans="1:3" x14ac:dyDescent="0.25">
      <c r="A113" s="104" t="s">
        <v>494</v>
      </c>
      <c r="B113" s="103">
        <v>700.46421477264494</v>
      </c>
      <c r="C113" s="102">
        <v>720.16</v>
      </c>
    </row>
    <row r="114" spans="1:3" x14ac:dyDescent="0.25">
      <c r="A114" s="104" t="s">
        <v>493</v>
      </c>
      <c r="B114" s="103">
        <v>713.06282728872486</v>
      </c>
      <c r="C114" s="102"/>
    </row>
    <row r="115" spans="1:3" x14ac:dyDescent="0.25">
      <c r="A115" s="106" t="s">
        <v>492</v>
      </c>
      <c r="B115" s="9">
        <v>0</v>
      </c>
      <c r="C115" s="102"/>
    </row>
    <row r="116" spans="1:3" x14ac:dyDescent="0.25">
      <c r="A116" s="105" t="s">
        <v>129</v>
      </c>
      <c r="B116" s="9">
        <v>0</v>
      </c>
      <c r="C116" s="102"/>
    </row>
    <row r="117" spans="1:3" x14ac:dyDescent="0.25">
      <c r="A117" s="104" t="s">
        <v>491</v>
      </c>
      <c r="B117" s="103">
        <v>641.78329498989399</v>
      </c>
      <c r="C117" s="102">
        <v>654.85</v>
      </c>
    </row>
    <row r="118" spans="1:3" x14ac:dyDescent="0.25">
      <c r="A118" s="104" t="s">
        <v>490</v>
      </c>
      <c r="B118" s="103">
        <v>717.49608789069634</v>
      </c>
      <c r="C118" s="102">
        <v>727.51</v>
      </c>
    </row>
    <row r="119" spans="1:3" x14ac:dyDescent="0.25">
      <c r="A119" s="104" t="s">
        <v>489</v>
      </c>
      <c r="B119" s="103">
        <v>733.11122545131843</v>
      </c>
      <c r="C119" s="102">
        <v>751.08</v>
      </c>
    </row>
    <row r="120" spans="1:3" x14ac:dyDescent="0.25">
      <c r="A120" s="104" t="s">
        <v>488</v>
      </c>
      <c r="B120" s="103">
        <v>723.24876688694985</v>
      </c>
      <c r="C120" s="102">
        <v>738.31</v>
      </c>
    </row>
    <row r="121" spans="1:3" x14ac:dyDescent="0.25">
      <c r="A121" s="104" t="s">
        <v>487</v>
      </c>
      <c r="B121" s="103">
        <v>724.41825995476131</v>
      </c>
      <c r="C121" s="102">
        <v>746.12</v>
      </c>
    </row>
    <row r="122" spans="1:3" x14ac:dyDescent="0.25">
      <c r="A122" s="104" t="s">
        <v>486</v>
      </c>
      <c r="B122" s="103">
        <v>753.34004113733761</v>
      </c>
      <c r="C122" s="102">
        <v>764.35</v>
      </c>
    </row>
    <row r="123" spans="1:3" x14ac:dyDescent="0.25">
      <c r="A123" s="104" t="s">
        <v>485</v>
      </c>
      <c r="B123" s="103">
        <v>662.32800000000009</v>
      </c>
      <c r="C123" s="102">
        <v>680.21</v>
      </c>
    </row>
    <row r="124" spans="1:3" x14ac:dyDescent="0.25">
      <c r="A124" s="104" t="s">
        <v>484</v>
      </c>
      <c r="B124" s="103">
        <v>761.67443668760188</v>
      </c>
      <c r="C124" s="102">
        <v>780.15</v>
      </c>
    </row>
    <row r="125" spans="1:3" ht="18.75" customHeight="1" x14ac:dyDescent="0.25">
      <c r="A125" s="104" t="s">
        <v>483</v>
      </c>
      <c r="B125" s="103">
        <v>675.92078891197082</v>
      </c>
      <c r="C125" s="102">
        <v>693.08</v>
      </c>
    </row>
    <row r="126" spans="1:3" x14ac:dyDescent="0.25">
      <c r="A126" s="104" t="s">
        <v>482</v>
      </c>
      <c r="B126" s="103">
        <v>696.99257864469394</v>
      </c>
      <c r="C126" s="107">
        <f>B126</f>
        <v>696.99257864469394</v>
      </c>
    </row>
    <row r="127" spans="1:3" x14ac:dyDescent="0.25">
      <c r="A127" s="104" t="s">
        <v>481</v>
      </c>
      <c r="B127" s="103">
        <v>658.86884198036034</v>
      </c>
      <c r="C127" s="107">
        <f>B127</f>
        <v>658.86884198036034</v>
      </c>
    </row>
    <row r="128" spans="1:3" x14ac:dyDescent="0.25">
      <c r="A128" s="104" t="s">
        <v>480</v>
      </c>
      <c r="B128" s="103">
        <v>793.82539700106747</v>
      </c>
      <c r="C128" s="102">
        <v>824.68</v>
      </c>
    </row>
    <row r="129" spans="1:3" x14ac:dyDescent="0.25">
      <c r="A129" s="104" t="s">
        <v>479</v>
      </c>
      <c r="B129" s="103">
        <v>604.30169363928132</v>
      </c>
      <c r="C129" s="102">
        <v>619.32000000000005</v>
      </c>
    </row>
    <row r="130" spans="1:3" x14ac:dyDescent="0.25">
      <c r="A130" s="104" t="s">
        <v>478</v>
      </c>
      <c r="B130" s="103">
        <v>611.10737067822299</v>
      </c>
      <c r="C130" s="102">
        <v>624.59</v>
      </c>
    </row>
    <row r="131" spans="1:3" x14ac:dyDescent="0.25">
      <c r="A131" s="106" t="s">
        <v>477</v>
      </c>
      <c r="B131" s="9">
        <v>0</v>
      </c>
      <c r="C131" s="102"/>
    </row>
    <row r="132" spans="1:3" x14ac:dyDescent="0.25">
      <c r="A132" s="105" t="s">
        <v>129</v>
      </c>
      <c r="B132" s="9">
        <v>0</v>
      </c>
      <c r="C132" s="102"/>
    </row>
    <row r="133" spans="1:3" ht="30" x14ac:dyDescent="0.25">
      <c r="A133" s="104" t="s">
        <v>476</v>
      </c>
      <c r="B133" s="103">
        <v>171.96394555185927</v>
      </c>
      <c r="C133" s="102">
        <v>202.63</v>
      </c>
    </row>
    <row r="134" spans="1:3" x14ac:dyDescent="0.25">
      <c r="A134" s="104" t="s">
        <v>475</v>
      </c>
      <c r="B134" s="103">
        <v>633.93836593192248</v>
      </c>
      <c r="C134" s="102">
        <v>645.80999999999995</v>
      </c>
    </row>
    <row r="135" spans="1:3" x14ac:dyDescent="0.25">
      <c r="A135" s="104" t="s">
        <v>474</v>
      </c>
      <c r="B135" s="103">
        <v>626.71199999999999</v>
      </c>
      <c r="C135" s="102">
        <v>645.32000000000005</v>
      </c>
    </row>
    <row r="136" spans="1:3" x14ac:dyDescent="0.25">
      <c r="A136" s="104" t="s">
        <v>473</v>
      </c>
      <c r="B136" s="103">
        <v>597.68654154449757</v>
      </c>
      <c r="C136" s="102">
        <v>616.73</v>
      </c>
    </row>
    <row r="137" spans="1:3" x14ac:dyDescent="0.25">
      <c r="A137" s="106" t="s">
        <v>472</v>
      </c>
      <c r="B137" s="9">
        <v>0</v>
      </c>
      <c r="C137" s="102"/>
    </row>
    <row r="138" spans="1:3" x14ac:dyDescent="0.25">
      <c r="A138" s="105" t="s">
        <v>129</v>
      </c>
      <c r="B138" s="9">
        <v>0</v>
      </c>
      <c r="C138" s="102"/>
    </row>
    <row r="139" spans="1:3" x14ac:dyDescent="0.25">
      <c r="A139" s="104" t="s">
        <v>471</v>
      </c>
      <c r="B139" s="103">
        <v>704.689173988687</v>
      </c>
      <c r="C139" s="102">
        <v>723.5</v>
      </c>
    </row>
    <row r="140" spans="1:3" x14ac:dyDescent="0.25">
      <c r="A140" s="104" t="s">
        <v>470</v>
      </c>
      <c r="B140" s="103">
        <v>732.14116103791503</v>
      </c>
      <c r="C140" s="102">
        <v>750.62</v>
      </c>
    </row>
    <row r="141" spans="1:3" x14ac:dyDescent="0.25">
      <c r="A141" s="104" t="s">
        <v>469</v>
      </c>
      <c r="B141" s="103">
        <v>750.98324894274685</v>
      </c>
      <c r="C141" s="107">
        <f>B141</f>
        <v>750.98324894274685</v>
      </c>
    </row>
    <row r="142" spans="1:3" x14ac:dyDescent="0.25">
      <c r="A142" s="104" t="s">
        <v>468</v>
      </c>
      <c r="B142" s="103">
        <v>563.68799999999999</v>
      </c>
      <c r="C142" s="102">
        <v>576.54999999999995</v>
      </c>
    </row>
    <row r="143" spans="1:3" x14ac:dyDescent="0.25">
      <c r="A143" s="104" t="s">
        <v>467</v>
      </c>
      <c r="B143" s="103">
        <v>652.55034413927478</v>
      </c>
      <c r="C143" s="102">
        <v>670</v>
      </c>
    </row>
    <row r="144" spans="1:3" x14ac:dyDescent="0.25">
      <c r="A144" s="104" t="s">
        <v>466</v>
      </c>
      <c r="B144" s="103">
        <v>635.0950311811838</v>
      </c>
      <c r="C144" s="102">
        <v>643.70000000000005</v>
      </c>
    </row>
    <row r="145" spans="1:3" x14ac:dyDescent="0.25">
      <c r="A145" s="104" t="s">
        <v>465</v>
      </c>
      <c r="B145" s="103">
        <v>734.64654544032362</v>
      </c>
      <c r="C145" s="102">
        <v>741.11</v>
      </c>
    </row>
    <row r="146" spans="1:3" x14ac:dyDescent="0.25">
      <c r="A146" s="106" t="s">
        <v>464</v>
      </c>
      <c r="B146" s="9">
        <v>0</v>
      </c>
      <c r="C146" s="102"/>
    </row>
    <row r="147" spans="1:3" x14ac:dyDescent="0.25">
      <c r="A147" s="105" t="s">
        <v>129</v>
      </c>
      <c r="B147" s="9">
        <v>0</v>
      </c>
      <c r="C147" s="102"/>
    </row>
    <row r="148" spans="1:3" x14ac:dyDescent="0.25">
      <c r="A148" s="104" t="s">
        <v>463</v>
      </c>
      <c r="B148" s="103">
        <v>662.03478682127195</v>
      </c>
      <c r="C148" s="102">
        <v>669.31</v>
      </c>
    </row>
    <row r="149" spans="1:3" x14ac:dyDescent="0.25">
      <c r="A149" s="104" t="s">
        <v>462</v>
      </c>
      <c r="B149" s="103">
        <v>668.03983225468414</v>
      </c>
      <c r="C149" s="102">
        <v>677.13</v>
      </c>
    </row>
    <row r="150" spans="1:3" x14ac:dyDescent="0.25">
      <c r="A150" s="104" t="s">
        <v>461</v>
      </c>
      <c r="B150" s="103">
        <v>649.19787162635976</v>
      </c>
      <c r="C150" s="102">
        <v>657.9</v>
      </c>
    </row>
    <row r="151" spans="1:3" x14ac:dyDescent="0.25">
      <c r="A151" s="104" t="s">
        <v>460</v>
      </c>
      <c r="B151" s="103">
        <v>740.85504408726069</v>
      </c>
      <c r="C151" s="102">
        <v>751.21</v>
      </c>
    </row>
    <row r="152" spans="1:3" x14ac:dyDescent="0.25">
      <c r="A152" s="104" t="s">
        <v>459</v>
      </c>
      <c r="B152" s="103">
        <v>768.28349380574366</v>
      </c>
      <c r="C152" s="102">
        <v>781.8</v>
      </c>
    </row>
    <row r="153" spans="1:3" x14ac:dyDescent="0.25">
      <c r="A153" s="104" t="s">
        <v>458</v>
      </c>
      <c r="B153" s="103">
        <v>558.31047527358032</v>
      </c>
      <c r="C153" s="102">
        <v>570.92999999999995</v>
      </c>
    </row>
    <row r="154" spans="1:3" x14ac:dyDescent="0.25">
      <c r="A154" s="104" t="s">
        <v>457</v>
      </c>
      <c r="B154" s="103">
        <v>650.02430184258196</v>
      </c>
      <c r="C154" s="102">
        <v>663.32</v>
      </c>
    </row>
    <row r="155" spans="1:3" x14ac:dyDescent="0.25">
      <c r="A155" s="106" t="s">
        <v>456</v>
      </c>
      <c r="B155" s="9">
        <v>0</v>
      </c>
      <c r="C155" s="102"/>
    </row>
    <row r="156" spans="1:3" x14ac:dyDescent="0.25">
      <c r="A156" s="105" t="s">
        <v>129</v>
      </c>
      <c r="B156" s="9">
        <v>0</v>
      </c>
      <c r="C156" s="102"/>
    </row>
    <row r="157" spans="1:3" x14ac:dyDescent="0.25">
      <c r="A157" s="104" t="s">
        <v>455</v>
      </c>
      <c r="B157" s="103">
        <v>705.08678009613595</v>
      </c>
      <c r="C157" s="102">
        <v>719.39</v>
      </c>
    </row>
    <row r="158" spans="1:3" ht="18" customHeight="1" x14ac:dyDescent="0.25">
      <c r="A158" s="104" t="s">
        <v>454</v>
      </c>
      <c r="B158" s="103">
        <v>762.86236147110856</v>
      </c>
      <c r="C158" s="102">
        <v>777.21</v>
      </c>
    </row>
    <row r="159" spans="1:3" x14ac:dyDescent="0.25">
      <c r="A159" s="104" t="s">
        <v>453</v>
      </c>
      <c r="B159" s="103">
        <v>703.34135914528758</v>
      </c>
      <c r="C159" s="102">
        <v>716.2</v>
      </c>
    </row>
    <row r="160" spans="1:3" x14ac:dyDescent="0.25">
      <c r="A160" s="104" t="s">
        <v>452</v>
      </c>
      <c r="B160" s="103">
        <v>98.760394610823752</v>
      </c>
      <c r="C160" s="102">
        <v>124.43</v>
      </c>
    </row>
    <row r="161" spans="1:3" x14ac:dyDescent="0.25">
      <c r="A161" s="104" t="s">
        <v>451</v>
      </c>
      <c r="B161" s="103">
        <v>750.68057870430721</v>
      </c>
      <c r="C161" s="102">
        <v>763.93</v>
      </c>
    </row>
    <row r="162" spans="1:3" x14ac:dyDescent="0.25">
      <c r="A162" s="106" t="s">
        <v>450</v>
      </c>
      <c r="B162" s="9">
        <v>0</v>
      </c>
      <c r="C162" s="102"/>
    </row>
    <row r="163" spans="1:3" x14ac:dyDescent="0.25">
      <c r="A163" s="105" t="s">
        <v>129</v>
      </c>
      <c r="B163" s="9">
        <v>0</v>
      </c>
      <c r="C163" s="102"/>
    </row>
    <row r="164" spans="1:3" x14ac:dyDescent="0.25">
      <c r="A164" s="104" t="s">
        <v>449</v>
      </c>
      <c r="B164" s="103">
        <v>649.18451808249563</v>
      </c>
      <c r="C164" s="102">
        <v>662.7</v>
      </c>
    </row>
    <row r="165" spans="1:3" x14ac:dyDescent="0.25">
      <c r="A165" s="104" t="s">
        <v>448</v>
      </c>
      <c r="B165" s="103">
        <v>655.94214268425856</v>
      </c>
      <c r="C165" s="102">
        <v>667.51</v>
      </c>
    </row>
    <row r="166" spans="1:3" x14ac:dyDescent="0.25">
      <c r="A166" s="104" t="s">
        <v>447</v>
      </c>
      <c r="B166" s="103">
        <v>594.9236122303372</v>
      </c>
      <c r="C166" s="102">
        <v>603.9</v>
      </c>
    </row>
    <row r="167" spans="1:3" x14ac:dyDescent="0.25">
      <c r="A167" s="104" t="s">
        <v>446</v>
      </c>
      <c r="B167" s="103">
        <v>659.39098575827234</v>
      </c>
      <c r="C167" s="102">
        <v>672.49</v>
      </c>
    </row>
    <row r="168" spans="1:3" x14ac:dyDescent="0.25">
      <c r="A168" s="104" t="s">
        <v>445</v>
      </c>
      <c r="B168" s="103">
        <v>605.03935448329651</v>
      </c>
      <c r="C168" s="102">
        <v>617.98</v>
      </c>
    </row>
    <row r="169" spans="1:3" x14ac:dyDescent="0.25">
      <c r="A169" s="104" t="s">
        <v>444</v>
      </c>
      <c r="B169" s="103">
        <v>695.63045935118771</v>
      </c>
      <c r="C169" s="102">
        <v>705.65</v>
      </c>
    </row>
    <row r="170" spans="1:3" x14ac:dyDescent="0.25">
      <c r="A170" s="104" t="s">
        <v>443</v>
      </c>
      <c r="B170" s="103">
        <v>622.82581181763976</v>
      </c>
      <c r="C170" s="102">
        <v>635.20000000000005</v>
      </c>
    </row>
    <row r="171" spans="1:3" x14ac:dyDescent="0.25">
      <c r="A171" s="104" t="s">
        <v>442</v>
      </c>
      <c r="B171" s="103">
        <v>697.09859679379667</v>
      </c>
      <c r="C171" s="102">
        <v>717.86</v>
      </c>
    </row>
    <row r="172" spans="1:3" x14ac:dyDescent="0.25">
      <c r="A172" s="104" t="s">
        <v>441</v>
      </c>
      <c r="B172" s="103">
        <v>758.35199999999998</v>
      </c>
      <c r="C172" s="102">
        <v>772.8</v>
      </c>
    </row>
    <row r="173" spans="1:3" x14ac:dyDescent="0.25">
      <c r="A173" s="104" t="s">
        <v>440</v>
      </c>
      <c r="B173" s="103">
        <v>674.52970778642305</v>
      </c>
      <c r="C173" s="102">
        <v>690.11</v>
      </c>
    </row>
    <row r="174" spans="1:3" x14ac:dyDescent="0.25">
      <c r="A174" s="104" t="s">
        <v>439</v>
      </c>
      <c r="B174" s="103">
        <v>660.15665247041181</v>
      </c>
      <c r="C174" s="102">
        <v>671.47</v>
      </c>
    </row>
    <row r="175" spans="1:3" x14ac:dyDescent="0.25">
      <c r="A175" s="106" t="s">
        <v>438</v>
      </c>
      <c r="B175" s="9">
        <v>0</v>
      </c>
      <c r="C175" s="102"/>
    </row>
    <row r="176" spans="1:3" x14ac:dyDescent="0.25">
      <c r="A176" s="105" t="s">
        <v>129</v>
      </c>
      <c r="B176" s="9">
        <v>0</v>
      </c>
      <c r="C176" s="102"/>
    </row>
    <row r="177" spans="1:3" x14ac:dyDescent="0.25">
      <c r="A177" s="104" t="s">
        <v>437</v>
      </c>
      <c r="B177" s="103">
        <v>598.15199999999993</v>
      </c>
      <c r="C177" s="102">
        <v>608.89</v>
      </c>
    </row>
    <row r="178" spans="1:3" ht="30" x14ac:dyDescent="0.25">
      <c r="A178" s="104" t="s">
        <v>436</v>
      </c>
      <c r="B178" s="103">
        <v>713.02213599709182</v>
      </c>
      <c r="C178" s="102">
        <v>754.88</v>
      </c>
    </row>
    <row r="179" spans="1:3" x14ac:dyDescent="0.25">
      <c r="A179" s="106" t="s">
        <v>435</v>
      </c>
      <c r="B179" s="9">
        <v>0</v>
      </c>
      <c r="C179" s="102"/>
    </row>
    <row r="180" spans="1:3" x14ac:dyDescent="0.25">
      <c r="A180" s="105" t="s">
        <v>129</v>
      </c>
      <c r="B180" s="9">
        <v>0</v>
      </c>
      <c r="C180" s="102"/>
    </row>
    <row r="181" spans="1:3" x14ac:dyDescent="0.25">
      <c r="A181" s="104" t="s">
        <v>434</v>
      </c>
      <c r="B181" s="103">
        <v>815.28121173428201</v>
      </c>
      <c r="C181" s="102">
        <v>831.77</v>
      </c>
    </row>
    <row r="182" spans="1:3" x14ac:dyDescent="0.25">
      <c r="A182" s="104" t="s">
        <v>433</v>
      </c>
      <c r="B182" s="103">
        <v>692.80767586495574</v>
      </c>
      <c r="C182" s="102">
        <v>707.23</v>
      </c>
    </row>
    <row r="183" spans="1:3" x14ac:dyDescent="0.25">
      <c r="A183" s="104" t="s">
        <v>432</v>
      </c>
      <c r="B183" s="103">
        <v>697.93578383213969</v>
      </c>
      <c r="C183" s="102">
        <v>712.68</v>
      </c>
    </row>
    <row r="184" spans="1:3" x14ac:dyDescent="0.25">
      <c r="A184" s="104" t="s">
        <v>431</v>
      </c>
      <c r="B184" s="103">
        <v>843.62327178594114</v>
      </c>
      <c r="C184" s="102">
        <v>853.5</v>
      </c>
    </row>
    <row r="185" spans="1:3" ht="30" x14ac:dyDescent="0.25">
      <c r="A185" s="104" t="s">
        <v>430</v>
      </c>
      <c r="B185" s="103">
        <v>778.92529148993538</v>
      </c>
      <c r="C185" s="102">
        <v>786.08</v>
      </c>
    </row>
    <row r="186" spans="1:3" x14ac:dyDescent="0.25">
      <c r="A186" s="104" t="s">
        <v>429</v>
      </c>
      <c r="B186" s="103">
        <v>624.51599999999996</v>
      </c>
      <c r="C186" s="102">
        <v>642.09</v>
      </c>
    </row>
    <row r="187" spans="1:3" x14ac:dyDescent="0.25">
      <c r="A187" s="104" t="s">
        <v>428</v>
      </c>
      <c r="B187" s="103">
        <v>686.69761167705462</v>
      </c>
      <c r="C187" s="102">
        <v>705.13</v>
      </c>
    </row>
    <row r="188" spans="1:3" x14ac:dyDescent="0.25">
      <c r="A188" s="104" t="s">
        <v>427</v>
      </c>
      <c r="B188" s="103">
        <v>719.32918788238862</v>
      </c>
      <c r="C188" s="102">
        <v>733.09</v>
      </c>
    </row>
    <row r="189" spans="1:3" ht="30" x14ac:dyDescent="0.25">
      <c r="A189" s="104" t="s">
        <v>426</v>
      </c>
      <c r="B189" s="103">
        <v>883.58078973061811</v>
      </c>
      <c r="C189" s="102">
        <v>905.28</v>
      </c>
    </row>
    <row r="190" spans="1:3" x14ac:dyDescent="0.25">
      <c r="A190" s="104" t="s">
        <v>425</v>
      </c>
      <c r="B190" s="103">
        <v>783.23699041264854</v>
      </c>
      <c r="C190" s="102">
        <v>803.99</v>
      </c>
    </row>
    <row r="191" spans="1:3" x14ac:dyDescent="0.25">
      <c r="A191" s="104" t="s">
        <v>424</v>
      </c>
      <c r="B191" s="103">
        <v>601.07700309949632</v>
      </c>
      <c r="C191" s="102">
        <v>613.29999999999995</v>
      </c>
    </row>
    <row r="192" spans="1:3" ht="30" x14ac:dyDescent="0.25">
      <c r="A192" s="104" t="s">
        <v>423</v>
      </c>
      <c r="B192" s="103">
        <v>550.50214957856213</v>
      </c>
      <c r="C192" s="102">
        <v>571.19000000000005</v>
      </c>
    </row>
    <row r="193" spans="1:3" x14ac:dyDescent="0.25">
      <c r="A193" s="104" t="s">
        <v>422</v>
      </c>
      <c r="B193" s="103">
        <v>790.64755419129449</v>
      </c>
      <c r="C193" s="102">
        <v>818.98</v>
      </c>
    </row>
    <row r="194" spans="1:3" ht="30" x14ac:dyDescent="0.25">
      <c r="A194" s="104" t="s">
        <v>421</v>
      </c>
      <c r="B194" s="103">
        <v>760.12910151588858</v>
      </c>
      <c r="C194" s="102">
        <v>771.26</v>
      </c>
    </row>
    <row r="195" spans="1:3" x14ac:dyDescent="0.25">
      <c r="A195" s="106" t="s">
        <v>420</v>
      </c>
      <c r="B195" s="9">
        <v>0</v>
      </c>
      <c r="C195" s="102"/>
    </row>
    <row r="196" spans="1:3" x14ac:dyDescent="0.25">
      <c r="A196" s="105" t="s">
        <v>129</v>
      </c>
      <c r="B196" s="9">
        <v>0</v>
      </c>
      <c r="C196" s="102"/>
    </row>
    <row r="197" spans="1:3" x14ac:dyDescent="0.25">
      <c r="A197" s="104" t="s">
        <v>419</v>
      </c>
      <c r="B197" s="103">
        <v>739.88360314949512</v>
      </c>
      <c r="C197" s="102">
        <v>752.35</v>
      </c>
    </row>
    <row r="198" spans="1:3" x14ac:dyDescent="0.25">
      <c r="A198" s="104" t="s">
        <v>418</v>
      </c>
      <c r="B198" s="103">
        <v>700.53874779854482</v>
      </c>
      <c r="C198" s="102">
        <v>720.11</v>
      </c>
    </row>
    <row r="199" spans="1:3" x14ac:dyDescent="0.25">
      <c r="A199" s="104" t="s">
        <v>417</v>
      </c>
      <c r="B199" s="103">
        <v>888.21599999999989</v>
      </c>
      <c r="C199" s="102">
        <v>907.62</v>
      </c>
    </row>
    <row r="200" spans="1:3" x14ac:dyDescent="0.25">
      <c r="A200" s="104" t="s">
        <v>416</v>
      </c>
      <c r="B200" s="103">
        <v>690.23942706883224</v>
      </c>
      <c r="C200" s="102">
        <v>714.32</v>
      </c>
    </row>
    <row r="201" spans="1:3" x14ac:dyDescent="0.25">
      <c r="A201" s="106" t="s">
        <v>415</v>
      </c>
      <c r="B201" s="9">
        <v>0</v>
      </c>
      <c r="C201" s="102"/>
    </row>
    <row r="202" spans="1:3" x14ac:dyDescent="0.25">
      <c r="A202" s="105" t="s">
        <v>129</v>
      </c>
      <c r="B202" s="9">
        <v>0</v>
      </c>
      <c r="C202" s="102"/>
    </row>
    <row r="203" spans="1:3" ht="30" x14ac:dyDescent="0.25">
      <c r="A203" s="104" t="s">
        <v>414</v>
      </c>
      <c r="B203" s="103">
        <v>703.25000020463062</v>
      </c>
      <c r="C203" s="102">
        <v>723.21</v>
      </c>
    </row>
    <row r="204" spans="1:3" ht="18" customHeight="1" x14ac:dyDescent="0.25">
      <c r="A204" s="104" t="s">
        <v>413</v>
      </c>
      <c r="B204" s="103">
        <v>633.32767067323482</v>
      </c>
      <c r="C204" s="102">
        <v>645.65</v>
      </c>
    </row>
    <row r="205" spans="1:3" x14ac:dyDescent="0.25">
      <c r="A205" s="104" t="s">
        <v>412</v>
      </c>
      <c r="B205" s="103">
        <v>538.60799999999995</v>
      </c>
      <c r="C205" s="102">
        <v>552.04999999999995</v>
      </c>
    </row>
    <row r="206" spans="1:3" x14ac:dyDescent="0.25">
      <c r="A206" s="104" t="s">
        <v>411</v>
      </c>
      <c r="B206" s="103">
        <v>683.39206518912818</v>
      </c>
      <c r="C206" s="102">
        <v>696.86</v>
      </c>
    </row>
    <row r="207" spans="1:3" ht="30" x14ac:dyDescent="0.25">
      <c r="A207" s="104" t="s">
        <v>410</v>
      </c>
      <c r="B207" s="103">
        <v>705.95273704848967</v>
      </c>
      <c r="C207" s="102">
        <v>718.48</v>
      </c>
    </row>
    <row r="208" spans="1:3" x14ac:dyDescent="0.25">
      <c r="A208" s="104" t="s">
        <v>409</v>
      </c>
      <c r="B208" s="103">
        <v>586.39321739882746</v>
      </c>
      <c r="C208" s="102">
        <v>600.16999999999996</v>
      </c>
    </row>
    <row r="209" spans="1:3" x14ac:dyDescent="0.25">
      <c r="A209" s="104" t="s">
        <v>408</v>
      </c>
      <c r="B209" s="103">
        <v>735.32855591452278</v>
      </c>
      <c r="C209" s="102">
        <v>747.7</v>
      </c>
    </row>
    <row r="210" spans="1:3" ht="30" x14ac:dyDescent="0.25">
      <c r="A210" s="104" t="s">
        <v>407</v>
      </c>
      <c r="B210" s="103"/>
      <c r="C210" s="102">
        <v>107.79</v>
      </c>
    </row>
    <row r="211" spans="1:3" x14ac:dyDescent="0.25">
      <c r="A211" s="106" t="s">
        <v>406</v>
      </c>
      <c r="B211" s="9">
        <v>0</v>
      </c>
      <c r="C211" s="102"/>
    </row>
    <row r="212" spans="1:3" x14ac:dyDescent="0.25">
      <c r="A212" s="105" t="s">
        <v>129</v>
      </c>
      <c r="B212" s="9">
        <v>0</v>
      </c>
      <c r="C212" s="102"/>
    </row>
    <row r="213" spans="1:3" ht="16.5" customHeight="1" x14ac:dyDescent="0.25">
      <c r="A213" s="104" t="s">
        <v>405</v>
      </c>
      <c r="B213" s="103">
        <v>703.26160496239959</v>
      </c>
      <c r="C213" s="102">
        <v>722.01</v>
      </c>
    </row>
    <row r="214" spans="1:3" ht="45" x14ac:dyDescent="0.25">
      <c r="A214" s="104" t="s">
        <v>404</v>
      </c>
      <c r="B214" s="103">
        <v>738.07345093758181</v>
      </c>
      <c r="C214" s="102">
        <v>748.82</v>
      </c>
    </row>
    <row r="215" spans="1:3" x14ac:dyDescent="0.25">
      <c r="A215" s="104" t="s">
        <v>403</v>
      </c>
      <c r="B215" s="103">
        <v>702.64535816602177</v>
      </c>
      <c r="C215" s="102">
        <v>716.71</v>
      </c>
    </row>
    <row r="216" spans="1:3" ht="30" x14ac:dyDescent="0.25">
      <c r="A216" s="104" t="s">
        <v>402</v>
      </c>
      <c r="B216" s="103">
        <v>721.67895010791528</v>
      </c>
      <c r="C216" s="102">
        <v>733.97</v>
      </c>
    </row>
    <row r="217" spans="1:3" x14ac:dyDescent="0.25">
      <c r="A217" s="104" t="s">
        <v>401</v>
      </c>
      <c r="B217" s="103">
        <v>606.28658342386984</v>
      </c>
      <c r="C217" s="102">
        <v>614.55999999999995</v>
      </c>
    </row>
    <row r="218" spans="1:3" x14ac:dyDescent="0.25">
      <c r="A218" s="104" t="s">
        <v>400</v>
      </c>
      <c r="B218" s="103">
        <v>878.13680137815891</v>
      </c>
      <c r="C218" s="102">
        <v>896.87</v>
      </c>
    </row>
    <row r="219" spans="1:3" x14ac:dyDescent="0.25">
      <c r="A219" s="104" t="s">
        <v>399</v>
      </c>
      <c r="B219" s="103">
        <v>638.00223611026422</v>
      </c>
      <c r="C219" s="102">
        <v>658.95</v>
      </c>
    </row>
    <row r="220" spans="1:3" x14ac:dyDescent="0.25">
      <c r="A220" s="104" t="s">
        <v>398</v>
      </c>
      <c r="B220" s="103">
        <v>696.54803750543556</v>
      </c>
      <c r="C220" s="102">
        <v>709.55</v>
      </c>
    </row>
    <row r="221" spans="1:3" x14ac:dyDescent="0.25">
      <c r="A221" s="106" t="s">
        <v>397</v>
      </c>
      <c r="B221" s="9">
        <v>0</v>
      </c>
      <c r="C221" s="102"/>
    </row>
    <row r="222" spans="1:3" x14ac:dyDescent="0.25">
      <c r="A222" s="105" t="s">
        <v>129</v>
      </c>
      <c r="B222" s="9">
        <v>0</v>
      </c>
      <c r="C222" s="102"/>
    </row>
    <row r="223" spans="1:3" x14ac:dyDescent="0.25">
      <c r="A223" s="104" t="s">
        <v>396</v>
      </c>
      <c r="B223" s="103">
        <v>580.8616146058755</v>
      </c>
      <c r="C223" s="102">
        <v>592.58000000000004</v>
      </c>
    </row>
    <row r="224" spans="1:3" x14ac:dyDescent="0.25">
      <c r="A224" s="106" t="s">
        <v>395</v>
      </c>
      <c r="B224" s="9">
        <v>0</v>
      </c>
      <c r="C224" s="102"/>
    </row>
    <row r="225" spans="1:3" x14ac:dyDescent="0.25">
      <c r="A225" s="105" t="s">
        <v>129</v>
      </c>
      <c r="B225" s="9">
        <v>0</v>
      </c>
      <c r="C225" s="102"/>
    </row>
    <row r="226" spans="1:3" ht="30" x14ac:dyDescent="0.25">
      <c r="A226" s="104" t="s">
        <v>394</v>
      </c>
      <c r="B226" s="103">
        <v>592.37290711492801</v>
      </c>
      <c r="C226" s="102">
        <v>600.67999999999995</v>
      </c>
    </row>
    <row r="227" spans="1:3" x14ac:dyDescent="0.25">
      <c r="A227" s="104" t="s">
        <v>393</v>
      </c>
      <c r="B227" s="103">
        <v>632.11717763232116</v>
      </c>
      <c r="C227" s="102">
        <v>738.02</v>
      </c>
    </row>
    <row r="228" spans="1:3" x14ac:dyDescent="0.25">
      <c r="A228" s="104" t="s">
        <v>392</v>
      </c>
      <c r="B228" s="103">
        <v>695.27257159461578</v>
      </c>
      <c r="C228" s="102">
        <v>708.56</v>
      </c>
    </row>
    <row r="229" spans="1:3" ht="15.75" thickBot="1" x14ac:dyDescent="0.3">
      <c r="A229" s="101" t="s">
        <v>391</v>
      </c>
      <c r="B229" s="100">
        <v>649.42285158884738</v>
      </c>
      <c r="C229" s="99">
        <v>664.81</v>
      </c>
    </row>
    <row r="231" spans="1:3" x14ac:dyDescent="0.25">
      <c r="A231" s="98" t="s">
        <v>390</v>
      </c>
      <c r="B231" s="97"/>
      <c r="C231" s="96">
        <v>282.83999999999997</v>
      </c>
    </row>
    <row r="233" spans="1:3" x14ac:dyDescent="0.25">
      <c r="A233" s="362" t="s">
        <v>298</v>
      </c>
      <c r="B233" s="363"/>
    </row>
    <row r="234" spans="1:3" x14ac:dyDescent="0.25">
      <c r="A234" s="367" t="s">
        <v>435</v>
      </c>
      <c r="B234" s="368"/>
    </row>
    <row r="235" spans="1:3" x14ac:dyDescent="0.25">
      <c r="A235" s="369" t="s">
        <v>296</v>
      </c>
      <c r="B235" s="370"/>
    </row>
    <row r="236" spans="1:3" x14ac:dyDescent="0.25">
      <c r="A236" s="367" t="s">
        <v>429</v>
      </c>
      <c r="B236" s="371"/>
    </row>
    <row r="237" spans="1:3" x14ac:dyDescent="0.25">
      <c r="A237" s="362" t="s">
        <v>294</v>
      </c>
      <c r="B237" s="363"/>
    </row>
    <row r="238" spans="1:3" x14ac:dyDescent="0.25">
      <c r="A238" s="52">
        <f>VLOOKUP(A236,'Тарифи ЦО'!A3:C229,3,0)</f>
        <v>642.09</v>
      </c>
      <c r="B238" s="51" t="s">
        <v>293</v>
      </c>
    </row>
  </sheetData>
  <mergeCells count="6">
    <mergeCell ref="A237:B237"/>
    <mergeCell ref="A1:C1"/>
    <mergeCell ref="A233:B233"/>
    <mergeCell ref="A234:B234"/>
    <mergeCell ref="A235:B235"/>
    <mergeCell ref="A236:B236"/>
  </mergeCells>
  <conditionalFormatting sqref="A231 B133:B136 B139:B145 B148:B154 B157:B161 B164:B174 B177:B178 B181:B194 B197:B200 B203:B210 B213:B220 B223 B226:B229 A3:A229 B5:B9 B12:B16 B19:B37 B40:B57 B60:B64 B67:B72 B75:B77 B80:B90 B98:B102 B105:B114 B117:B130 B93:B95">
    <cfRule type="cellIs" dxfId="302" priority="303" operator="equal">
      <formula>0</formula>
    </cfRule>
  </conditionalFormatting>
  <conditionalFormatting sqref="A3:A4">
    <cfRule type="expression" dxfId="301" priority="302">
      <formula>AND(XFB3=869)</formula>
    </cfRule>
  </conditionalFormatting>
  <conditionalFormatting sqref="A5:A11">
    <cfRule type="expression" dxfId="300" priority="301">
      <formula>AND(XFB4=869)</formula>
    </cfRule>
  </conditionalFormatting>
  <conditionalFormatting sqref="A3">
    <cfRule type="expression" dxfId="299" priority="300">
      <formula>AND(XFB3=869)</formula>
    </cfRule>
  </conditionalFormatting>
  <conditionalFormatting sqref="A3">
    <cfRule type="expression" dxfId="298" priority="299">
      <formula>AND(XFB3=869)</formula>
    </cfRule>
  </conditionalFormatting>
  <conditionalFormatting sqref="A12:A18">
    <cfRule type="expression" dxfId="297" priority="298">
      <formula>AND(XFB10=869)</formula>
    </cfRule>
  </conditionalFormatting>
  <conditionalFormatting sqref="A11">
    <cfRule type="expression" dxfId="296" priority="297">
      <formula>AND(XFB11=869)</formula>
    </cfRule>
  </conditionalFormatting>
  <conditionalFormatting sqref="A19:A37">
    <cfRule type="expression" dxfId="295" priority="296">
      <formula>AND(XFB16=869)</formula>
    </cfRule>
  </conditionalFormatting>
  <conditionalFormatting sqref="A18">
    <cfRule type="expression" dxfId="294" priority="295">
      <formula>AND(XFB17=869)</formula>
    </cfRule>
  </conditionalFormatting>
  <conditionalFormatting sqref="A18">
    <cfRule type="expression" dxfId="293" priority="294">
      <formula>AND(XFB18=869)</formula>
    </cfRule>
  </conditionalFormatting>
  <conditionalFormatting sqref="A38:A39 A42:A59">
    <cfRule type="expression" dxfId="292" priority="293">
      <formula>AND(XFB34=869)</formula>
    </cfRule>
  </conditionalFormatting>
  <conditionalFormatting sqref="A39">
    <cfRule type="expression" dxfId="291" priority="292">
      <formula>AND(XFB36=869)</formula>
    </cfRule>
  </conditionalFormatting>
  <conditionalFormatting sqref="A39">
    <cfRule type="expression" dxfId="290" priority="291">
      <formula>AND(XFB38=869)</formula>
    </cfRule>
  </conditionalFormatting>
  <conditionalFormatting sqref="A39">
    <cfRule type="expression" dxfId="289" priority="290">
      <formula>AND(XFB39=869)</formula>
    </cfRule>
  </conditionalFormatting>
  <conditionalFormatting sqref="A60:A66 A40:A41">
    <cfRule type="expression" dxfId="288" priority="289">
      <formula>AND(XFB35=869)</formula>
    </cfRule>
  </conditionalFormatting>
  <conditionalFormatting sqref="A59">
    <cfRule type="expression" dxfId="287" priority="288">
      <formula>AND(XFB56=869)</formula>
    </cfRule>
  </conditionalFormatting>
  <conditionalFormatting sqref="A59">
    <cfRule type="expression" dxfId="286" priority="287">
      <formula>AND(XFB57=869)</formula>
    </cfRule>
  </conditionalFormatting>
  <conditionalFormatting sqref="A59">
    <cfRule type="expression" dxfId="285" priority="286">
      <formula>AND(XFB58=869)</formula>
    </cfRule>
  </conditionalFormatting>
  <conditionalFormatting sqref="A59">
    <cfRule type="expression" dxfId="284" priority="285">
      <formula>AND(XFB59=869)</formula>
    </cfRule>
  </conditionalFormatting>
  <conditionalFormatting sqref="A67:A74">
    <cfRule type="expression" dxfId="283" priority="284">
      <formula>AND(XFB61=869)</formula>
    </cfRule>
  </conditionalFormatting>
  <conditionalFormatting sqref="A66">
    <cfRule type="expression" dxfId="282" priority="283">
      <formula>AND(XFB62=869)</formula>
    </cfRule>
  </conditionalFormatting>
  <conditionalFormatting sqref="A66">
    <cfRule type="expression" dxfId="281" priority="282">
      <formula>AND(XFB63=869)</formula>
    </cfRule>
  </conditionalFormatting>
  <conditionalFormatting sqref="A66">
    <cfRule type="expression" dxfId="280" priority="281">
      <formula>AND(XFB64=869)</formula>
    </cfRule>
  </conditionalFormatting>
  <conditionalFormatting sqref="A66">
    <cfRule type="expression" dxfId="279" priority="280">
      <formula>AND(XFB65=869)</formula>
    </cfRule>
  </conditionalFormatting>
  <conditionalFormatting sqref="A66">
    <cfRule type="expression" dxfId="278" priority="279">
      <formula>AND(XFB66=869)</formula>
    </cfRule>
  </conditionalFormatting>
  <conditionalFormatting sqref="A75:A79 A131:A132">
    <cfRule type="expression" dxfId="277" priority="278">
      <formula>AND(XFB68=869)</formula>
    </cfRule>
  </conditionalFormatting>
  <conditionalFormatting sqref="A74">
    <cfRule type="expression" dxfId="276" priority="277">
      <formula>AND(XFB69=869)</formula>
    </cfRule>
  </conditionalFormatting>
  <conditionalFormatting sqref="A74">
    <cfRule type="expression" dxfId="275" priority="276">
      <formula>AND(XFB70=869)</formula>
    </cfRule>
  </conditionalFormatting>
  <conditionalFormatting sqref="A74">
    <cfRule type="expression" dxfId="274" priority="275">
      <formula>AND(XFB71=869)</formula>
    </cfRule>
  </conditionalFormatting>
  <conditionalFormatting sqref="A74">
    <cfRule type="expression" dxfId="273" priority="274">
      <formula>AND(XFB72=869)</formula>
    </cfRule>
  </conditionalFormatting>
  <conditionalFormatting sqref="A74">
    <cfRule type="expression" dxfId="272" priority="273">
      <formula>AND(XFB73=869)</formula>
    </cfRule>
  </conditionalFormatting>
  <conditionalFormatting sqref="A74">
    <cfRule type="expression" dxfId="271" priority="272">
      <formula>AND(XFB74=869)</formula>
    </cfRule>
  </conditionalFormatting>
  <conditionalFormatting sqref="A80:A90 A133:A138">
    <cfRule type="expression" dxfId="270" priority="271">
      <formula>AND(XFB72=869)</formula>
    </cfRule>
  </conditionalFormatting>
  <conditionalFormatting sqref="A79">
    <cfRule type="expression" dxfId="269" priority="270">
      <formula>AND(XFB73=869)</formula>
    </cfRule>
  </conditionalFormatting>
  <conditionalFormatting sqref="A79">
    <cfRule type="expression" dxfId="268" priority="269">
      <formula>AND(XFB74=869)</formula>
    </cfRule>
  </conditionalFormatting>
  <conditionalFormatting sqref="A79">
    <cfRule type="expression" dxfId="267" priority="268">
      <formula>AND(XFB75=869)</formula>
    </cfRule>
  </conditionalFormatting>
  <conditionalFormatting sqref="A79">
    <cfRule type="expression" dxfId="266" priority="267">
      <formula>AND(XFB76=869)</formula>
    </cfRule>
  </conditionalFormatting>
  <conditionalFormatting sqref="A79">
    <cfRule type="expression" dxfId="265" priority="266">
      <formula>AND(XFB77=869)</formula>
    </cfRule>
  </conditionalFormatting>
  <conditionalFormatting sqref="A79">
    <cfRule type="expression" dxfId="264" priority="265">
      <formula>AND(XFB78=869)</formula>
    </cfRule>
  </conditionalFormatting>
  <conditionalFormatting sqref="A79">
    <cfRule type="expression" dxfId="263" priority="264">
      <formula>AND(XFB79=869)</formula>
    </cfRule>
  </conditionalFormatting>
  <conditionalFormatting sqref="A98:A104 A145:A147">
    <cfRule type="expression" dxfId="262" priority="263">
      <formula>AND(XFB84=869)</formula>
    </cfRule>
  </conditionalFormatting>
  <conditionalFormatting sqref="A97">
    <cfRule type="expression" dxfId="261" priority="262">
      <formula>AND(XFB85=869)</formula>
    </cfRule>
  </conditionalFormatting>
  <conditionalFormatting sqref="A97 A117:A130">
    <cfRule type="expression" dxfId="260" priority="261">
      <formula>AND(XFB86=869)</formula>
    </cfRule>
  </conditionalFormatting>
  <conditionalFormatting sqref="A97 A106:A116">
    <cfRule type="expression" dxfId="259" priority="260">
      <formula>AND(XFB87=869)</formula>
    </cfRule>
  </conditionalFormatting>
  <conditionalFormatting sqref="A97 A139">
    <cfRule type="expression" dxfId="258" priority="259">
      <formula>AND(XFB88=869)</formula>
    </cfRule>
  </conditionalFormatting>
  <conditionalFormatting sqref="A97">
    <cfRule type="expression" dxfId="257" priority="258">
      <formula>AND(XFB89=869)</formula>
    </cfRule>
  </conditionalFormatting>
  <conditionalFormatting sqref="A97">
    <cfRule type="expression" dxfId="256" priority="257">
      <formula>AND(XFB90=869)</formula>
    </cfRule>
  </conditionalFormatting>
  <conditionalFormatting sqref="A97">
    <cfRule type="expression" dxfId="255" priority="256">
      <formula>AND(XFB96=869)</formula>
    </cfRule>
  </conditionalFormatting>
  <conditionalFormatting sqref="A97">
    <cfRule type="expression" dxfId="254" priority="255">
      <formula>AND(XFB97=869)</formula>
    </cfRule>
  </conditionalFormatting>
  <conditionalFormatting sqref="A104">
    <cfRule type="expression" dxfId="253" priority="254">
      <formula>AND(XFB96=869)</formula>
    </cfRule>
  </conditionalFormatting>
  <conditionalFormatting sqref="A104">
    <cfRule type="expression" dxfId="252" priority="253">
      <formula>AND(XFB97=869)</formula>
    </cfRule>
  </conditionalFormatting>
  <conditionalFormatting sqref="A104">
    <cfRule type="expression" dxfId="251" priority="252">
      <formula>AND(XFB98=869)</formula>
    </cfRule>
  </conditionalFormatting>
  <conditionalFormatting sqref="A104">
    <cfRule type="expression" dxfId="250" priority="251">
      <formula>AND(XFB99=869)</formula>
    </cfRule>
  </conditionalFormatting>
  <conditionalFormatting sqref="A104">
    <cfRule type="expression" dxfId="249" priority="250">
      <formula>AND(XFB100=869)</formula>
    </cfRule>
  </conditionalFormatting>
  <conditionalFormatting sqref="A104">
    <cfRule type="expression" dxfId="248" priority="249">
      <formula>AND(XFB101=869)</formula>
    </cfRule>
  </conditionalFormatting>
  <conditionalFormatting sqref="A104">
    <cfRule type="expression" dxfId="247" priority="248">
      <formula>AND(XFB102=869)</formula>
    </cfRule>
  </conditionalFormatting>
  <conditionalFormatting sqref="A104">
    <cfRule type="expression" dxfId="246" priority="247">
      <formula>AND(XFB103=869)</formula>
    </cfRule>
  </conditionalFormatting>
  <conditionalFormatting sqref="A104">
    <cfRule type="expression" dxfId="245" priority="246">
      <formula>AND(XFB104=869)</formula>
    </cfRule>
  </conditionalFormatting>
  <conditionalFormatting sqref="A116">
    <cfRule type="expression" dxfId="244" priority="245">
      <formula>AND(XFB107=869)</formula>
    </cfRule>
  </conditionalFormatting>
  <conditionalFormatting sqref="A116">
    <cfRule type="expression" dxfId="243" priority="244">
      <formula>AND(XFB108=869)</formula>
    </cfRule>
  </conditionalFormatting>
  <conditionalFormatting sqref="A116">
    <cfRule type="expression" dxfId="242" priority="243">
      <formula>AND(XFB109=869)</formula>
    </cfRule>
  </conditionalFormatting>
  <conditionalFormatting sqref="A116">
    <cfRule type="expression" dxfId="241" priority="242">
      <formula>AND(XFB110=869)</formula>
    </cfRule>
  </conditionalFormatting>
  <conditionalFormatting sqref="A116">
    <cfRule type="expression" dxfId="240" priority="241">
      <formula>AND(XFB111=869)</formula>
    </cfRule>
  </conditionalFormatting>
  <conditionalFormatting sqref="A116">
    <cfRule type="expression" dxfId="239" priority="240">
      <formula>AND(XFB112=869)</formula>
    </cfRule>
  </conditionalFormatting>
  <conditionalFormatting sqref="A116">
    <cfRule type="expression" dxfId="238" priority="239">
      <formula>AND(XFB113=869)</formula>
    </cfRule>
  </conditionalFormatting>
  <conditionalFormatting sqref="A116">
    <cfRule type="expression" dxfId="237" priority="238">
      <formula>AND(XFB114=869)</formula>
    </cfRule>
  </conditionalFormatting>
  <conditionalFormatting sqref="A116">
    <cfRule type="expression" dxfId="236" priority="237">
      <formula>AND(XFB115=869)</formula>
    </cfRule>
  </conditionalFormatting>
  <conditionalFormatting sqref="A116">
    <cfRule type="expression" dxfId="235" priority="236">
      <formula>AND(XFB116=869)</formula>
    </cfRule>
  </conditionalFormatting>
  <conditionalFormatting sqref="A92">
    <cfRule type="expression" dxfId="234" priority="235">
      <formula>AND(XFB122=869)</formula>
    </cfRule>
  </conditionalFormatting>
  <conditionalFormatting sqref="A92">
    <cfRule type="expression" dxfId="233" priority="234">
      <formula>AND(XFB123=869)</formula>
    </cfRule>
  </conditionalFormatting>
  <conditionalFormatting sqref="A92">
    <cfRule type="expression" dxfId="232" priority="233">
      <formula>AND(XFB124=869)</formula>
    </cfRule>
  </conditionalFormatting>
  <conditionalFormatting sqref="A92">
    <cfRule type="expression" dxfId="231" priority="232">
      <formula>AND(XFB125=869)</formula>
    </cfRule>
  </conditionalFormatting>
  <conditionalFormatting sqref="A92">
    <cfRule type="expression" dxfId="230" priority="231">
      <formula>AND(XFB126=869)</formula>
    </cfRule>
  </conditionalFormatting>
  <conditionalFormatting sqref="A92">
    <cfRule type="expression" dxfId="229" priority="230">
      <formula>AND(XFB127=869)</formula>
    </cfRule>
  </conditionalFormatting>
  <conditionalFormatting sqref="A92">
    <cfRule type="expression" dxfId="228" priority="229">
      <formula>AND(XFB128=869)</formula>
    </cfRule>
  </conditionalFormatting>
  <conditionalFormatting sqref="A92">
    <cfRule type="expression" dxfId="227" priority="228">
      <formula>AND(XFB129=869)</formula>
    </cfRule>
  </conditionalFormatting>
  <conditionalFormatting sqref="A92">
    <cfRule type="expression" dxfId="226" priority="227">
      <formula>AND(XFB130=869)</formula>
    </cfRule>
  </conditionalFormatting>
  <conditionalFormatting sqref="A92">
    <cfRule type="expression" dxfId="225" priority="226">
      <formula>AND(XFB91=869)</formula>
    </cfRule>
  </conditionalFormatting>
  <conditionalFormatting sqref="A92">
    <cfRule type="expression" dxfId="224" priority="225">
      <formula>AND(XFB92=869)</formula>
    </cfRule>
  </conditionalFormatting>
  <conditionalFormatting sqref="A96:A97">
    <cfRule type="expression" dxfId="223" priority="224">
      <formula>AND(XFB83=869)</formula>
    </cfRule>
  </conditionalFormatting>
  <conditionalFormatting sqref="A132">
    <cfRule type="expression" dxfId="222" priority="223">
      <formula>AND(XFB126=869)</formula>
    </cfRule>
  </conditionalFormatting>
  <conditionalFormatting sqref="A132">
    <cfRule type="expression" dxfId="221" priority="222">
      <formula>AND(XFB127=869)</formula>
    </cfRule>
  </conditionalFormatting>
  <conditionalFormatting sqref="A132">
    <cfRule type="expression" dxfId="220" priority="221">
      <formula>AND(XFB128=869)</formula>
    </cfRule>
  </conditionalFormatting>
  <conditionalFormatting sqref="A132">
    <cfRule type="expression" dxfId="219" priority="220">
      <formula>AND(XFB129=869)</formula>
    </cfRule>
  </conditionalFormatting>
  <conditionalFormatting sqref="A132">
    <cfRule type="expression" dxfId="218" priority="219">
      <formula>AND(XFB130=869)</formula>
    </cfRule>
  </conditionalFormatting>
  <conditionalFormatting sqref="A132">
    <cfRule type="expression" dxfId="217" priority="218">
      <formula>AND(XFB131=869)</formula>
    </cfRule>
  </conditionalFormatting>
  <conditionalFormatting sqref="A132">
    <cfRule type="expression" dxfId="216" priority="217">
      <formula>AND(XFB132=869)</formula>
    </cfRule>
  </conditionalFormatting>
  <conditionalFormatting sqref="A138">
    <cfRule type="expression" dxfId="215" priority="216">
      <formula>AND(XFB131=869)</formula>
    </cfRule>
  </conditionalFormatting>
  <conditionalFormatting sqref="A138">
    <cfRule type="expression" dxfId="214" priority="215">
      <formula>AND(XFB132=869)</formula>
    </cfRule>
  </conditionalFormatting>
  <conditionalFormatting sqref="A138">
    <cfRule type="expression" dxfId="213" priority="214">
      <formula>AND(XFB133=869)</formula>
    </cfRule>
  </conditionalFormatting>
  <conditionalFormatting sqref="A138">
    <cfRule type="expression" dxfId="212" priority="213">
      <formula>AND(XFB134=869)</formula>
    </cfRule>
  </conditionalFormatting>
  <conditionalFormatting sqref="A138">
    <cfRule type="expression" dxfId="211" priority="212">
      <formula>AND(XFB135=869)</formula>
    </cfRule>
  </conditionalFormatting>
  <conditionalFormatting sqref="A138">
    <cfRule type="expression" dxfId="210" priority="211">
      <formula>AND(XFB136=869)</formula>
    </cfRule>
  </conditionalFormatting>
  <conditionalFormatting sqref="A138">
    <cfRule type="expression" dxfId="209" priority="210">
      <formula>AND(XFB137=869)</formula>
    </cfRule>
  </conditionalFormatting>
  <conditionalFormatting sqref="A138">
    <cfRule type="expression" dxfId="208" priority="209">
      <formula>AND(XFB138=869)</formula>
    </cfRule>
  </conditionalFormatting>
  <conditionalFormatting sqref="A148:A156 A105">
    <cfRule type="expression" dxfId="207" priority="208">
      <formula>AND(XFB90=869)</formula>
    </cfRule>
  </conditionalFormatting>
  <conditionalFormatting sqref="A147">
    <cfRule type="expression" dxfId="206" priority="207">
      <formula>AND(XFB134=869)</formula>
    </cfRule>
  </conditionalFormatting>
  <conditionalFormatting sqref="A147">
    <cfRule type="expression" dxfId="205" priority="206">
      <formula>AND(XFB135=869)</formula>
    </cfRule>
  </conditionalFormatting>
  <conditionalFormatting sqref="A147">
    <cfRule type="expression" dxfId="204" priority="205">
      <formula>AND(XFB136=869)</formula>
    </cfRule>
  </conditionalFormatting>
  <conditionalFormatting sqref="A147">
    <cfRule type="expression" dxfId="203" priority="204">
      <formula>AND(XFB137=869)</formula>
    </cfRule>
  </conditionalFormatting>
  <conditionalFormatting sqref="A147">
    <cfRule type="expression" dxfId="202" priority="203">
      <formula>AND(XFB138=869)</formula>
    </cfRule>
  </conditionalFormatting>
  <conditionalFormatting sqref="A147">
    <cfRule type="expression" dxfId="201" priority="202">
      <formula>AND(XFB139=869)</formula>
    </cfRule>
  </conditionalFormatting>
  <conditionalFormatting sqref="A147">
    <cfRule type="expression" dxfId="200" priority="201">
      <formula>AND(XFB140=869)</formula>
    </cfRule>
  </conditionalFormatting>
  <conditionalFormatting sqref="A147">
    <cfRule type="expression" dxfId="199" priority="200">
      <formula>AND(XFB141=869)</formula>
    </cfRule>
  </conditionalFormatting>
  <conditionalFormatting sqref="A147">
    <cfRule type="expression" dxfId="198" priority="199">
      <formula>AND(XFB142=869)</formula>
    </cfRule>
  </conditionalFormatting>
  <conditionalFormatting sqref="A147">
    <cfRule type="expression" dxfId="197" priority="198">
      <formula>AND(XFB143=869)</formula>
    </cfRule>
  </conditionalFormatting>
  <conditionalFormatting sqref="A147">
    <cfRule type="expression" dxfId="196" priority="197">
      <formula>AND(XFB144=869)</formula>
    </cfRule>
  </conditionalFormatting>
  <conditionalFormatting sqref="A147">
    <cfRule type="expression" dxfId="195" priority="196">
      <formula>AND(XFB145=869)</formula>
    </cfRule>
  </conditionalFormatting>
  <conditionalFormatting sqref="A147">
    <cfRule type="expression" dxfId="194" priority="195">
      <formula>AND(XFB146=869)</formula>
    </cfRule>
  </conditionalFormatting>
  <conditionalFormatting sqref="A147">
    <cfRule type="expression" dxfId="193" priority="194">
      <formula>AND(XFB147=869)</formula>
    </cfRule>
  </conditionalFormatting>
  <conditionalFormatting sqref="A157:A163">
    <cfRule type="expression" dxfId="192" priority="193">
      <formula>AND(XFB141=869)</formula>
    </cfRule>
  </conditionalFormatting>
  <conditionalFormatting sqref="A156">
    <cfRule type="expression" dxfId="191" priority="192">
      <formula>AND(XFB142=869)</formula>
    </cfRule>
  </conditionalFormatting>
  <conditionalFormatting sqref="A156">
    <cfRule type="expression" dxfId="190" priority="191">
      <formula>AND(XFB143=869)</formula>
    </cfRule>
  </conditionalFormatting>
  <conditionalFormatting sqref="A156">
    <cfRule type="expression" dxfId="189" priority="190">
      <formula>AND(XFB144=869)</formula>
    </cfRule>
  </conditionalFormatting>
  <conditionalFormatting sqref="A156">
    <cfRule type="expression" dxfId="188" priority="189">
      <formula>AND(XFB145=869)</formula>
    </cfRule>
  </conditionalFormatting>
  <conditionalFormatting sqref="A156">
    <cfRule type="expression" dxfId="187" priority="188">
      <formula>AND(XFB146=869)</formula>
    </cfRule>
  </conditionalFormatting>
  <conditionalFormatting sqref="A156">
    <cfRule type="expression" dxfId="186" priority="187">
      <formula>AND(XFB147=869)</formula>
    </cfRule>
  </conditionalFormatting>
  <conditionalFormatting sqref="A156">
    <cfRule type="expression" dxfId="185" priority="186">
      <formula>AND(XFB148=869)</formula>
    </cfRule>
  </conditionalFormatting>
  <conditionalFormatting sqref="A156">
    <cfRule type="expression" dxfId="184" priority="185">
      <formula>AND(XFB149=869)</formula>
    </cfRule>
  </conditionalFormatting>
  <conditionalFormatting sqref="A156">
    <cfRule type="expression" dxfId="183" priority="184">
      <formula>AND(XFB150=869)</formula>
    </cfRule>
  </conditionalFormatting>
  <conditionalFormatting sqref="A156">
    <cfRule type="expression" dxfId="182" priority="183">
      <formula>AND(XFB151=869)</formula>
    </cfRule>
  </conditionalFormatting>
  <conditionalFormatting sqref="A156">
    <cfRule type="expression" dxfId="181" priority="182">
      <formula>AND(XFB152=869)</formula>
    </cfRule>
  </conditionalFormatting>
  <conditionalFormatting sqref="A156">
    <cfRule type="expression" dxfId="180" priority="181">
      <formula>AND(XFB153=869)</formula>
    </cfRule>
  </conditionalFormatting>
  <conditionalFormatting sqref="A156">
    <cfRule type="expression" dxfId="179" priority="180">
      <formula>AND(XFB154=869)</formula>
    </cfRule>
  </conditionalFormatting>
  <conditionalFormatting sqref="A156">
    <cfRule type="expression" dxfId="178" priority="179">
      <formula>AND(XFB155=869)</formula>
    </cfRule>
  </conditionalFormatting>
  <conditionalFormatting sqref="A156">
    <cfRule type="expression" dxfId="177" priority="178">
      <formula>AND(XFB156=869)</formula>
    </cfRule>
  </conditionalFormatting>
  <conditionalFormatting sqref="A164:A176">
    <cfRule type="expression" dxfId="176" priority="177">
      <formula>AND(XFB147=869)</formula>
    </cfRule>
  </conditionalFormatting>
  <conditionalFormatting sqref="A163">
    <cfRule type="expression" dxfId="175" priority="176">
      <formula>AND(XFB148=869)</formula>
    </cfRule>
  </conditionalFormatting>
  <conditionalFormatting sqref="A163">
    <cfRule type="expression" dxfId="174" priority="175">
      <formula>AND(XFB149=869)</formula>
    </cfRule>
  </conditionalFormatting>
  <conditionalFormatting sqref="A163">
    <cfRule type="expression" dxfId="173" priority="174">
      <formula>AND(XFB150=869)</formula>
    </cfRule>
  </conditionalFormatting>
  <conditionalFormatting sqref="A163">
    <cfRule type="expression" dxfId="172" priority="173">
      <formula>AND(XFB151=869)</formula>
    </cfRule>
  </conditionalFormatting>
  <conditionalFormatting sqref="A163">
    <cfRule type="expression" dxfId="171" priority="172">
      <formula>AND(XFB152=869)</formula>
    </cfRule>
  </conditionalFormatting>
  <conditionalFormatting sqref="A163">
    <cfRule type="expression" dxfId="170" priority="171">
      <formula>AND(XFB153=869)</formula>
    </cfRule>
  </conditionalFormatting>
  <conditionalFormatting sqref="A163">
    <cfRule type="expression" dxfId="169" priority="170">
      <formula>AND(XFB154=869)</formula>
    </cfRule>
  </conditionalFormatting>
  <conditionalFormatting sqref="A163">
    <cfRule type="expression" dxfId="168" priority="169">
      <formula>AND(XFB155=869)</formula>
    </cfRule>
  </conditionalFormatting>
  <conditionalFormatting sqref="A163">
    <cfRule type="expression" dxfId="167" priority="168">
      <formula>AND(XFB156=869)</formula>
    </cfRule>
  </conditionalFormatting>
  <conditionalFormatting sqref="A163">
    <cfRule type="expression" dxfId="166" priority="167">
      <formula>AND(XFB157=869)</formula>
    </cfRule>
  </conditionalFormatting>
  <conditionalFormatting sqref="A163">
    <cfRule type="expression" dxfId="165" priority="166">
      <formula>AND(XFB158=869)</formula>
    </cfRule>
  </conditionalFormatting>
  <conditionalFormatting sqref="A163">
    <cfRule type="expression" dxfId="164" priority="165">
      <formula>AND(XFB159=869)</formula>
    </cfRule>
  </conditionalFormatting>
  <conditionalFormatting sqref="A163">
    <cfRule type="expression" dxfId="163" priority="164">
      <formula>AND(XFB160=869)</formula>
    </cfRule>
  </conditionalFormatting>
  <conditionalFormatting sqref="A163">
    <cfRule type="expression" dxfId="162" priority="163">
      <formula>AND(XFB161=869)</formula>
    </cfRule>
  </conditionalFormatting>
  <conditionalFormatting sqref="A163">
    <cfRule type="expression" dxfId="161" priority="162">
      <formula>AND(XFB162=869)</formula>
    </cfRule>
  </conditionalFormatting>
  <conditionalFormatting sqref="A163">
    <cfRule type="expression" dxfId="160" priority="161">
      <formula>AND(XFB163=869)</formula>
    </cfRule>
  </conditionalFormatting>
  <conditionalFormatting sqref="A177:A180">
    <cfRule type="expression" dxfId="159" priority="160">
      <formula>AND(XFB159=869)</formula>
    </cfRule>
  </conditionalFormatting>
  <conditionalFormatting sqref="A176">
    <cfRule type="expression" dxfId="158" priority="159">
      <formula>AND(XFB160=869)</formula>
    </cfRule>
  </conditionalFormatting>
  <conditionalFormatting sqref="A176">
    <cfRule type="expression" dxfId="157" priority="158">
      <formula>AND(XFB161=869)</formula>
    </cfRule>
  </conditionalFormatting>
  <conditionalFormatting sqref="A176">
    <cfRule type="expression" dxfId="156" priority="157">
      <formula>AND(XFB162=869)</formula>
    </cfRule>
  </conditionalFormatting>
  <conditionalFormatting sqref="A176">
    <cfRule type="expression" dxfId="155" priority="156">
      <formula>AND(XFB163=869)</formula>
    </cfRule>
  </conditionalFormatting>
  <conditionalFormatting sqref="A176">
    <cfRule type="expression" dxfId="154" priority="155">
      <formula>AND(XFB164=869)</formula>
    </cfRule>
  </conditionalFormatting>
  <conditionalFormatting sqref="A176">
    <cfRule type="expression" dxfId="153" priority="154">
      <formula>AND(XFB165=869)</formula>
    </cfRule>
  </conditionalFormatting>
  <conditionalFormatting sqref="A176">
    <cfRule type="expression" dxfId="152" priority="153">
      <formula>AND(XFB166=869)</formula>
    </cfRule>
  </conditionalFormatting>
  <conditionalFormatting sqref="A176">
    <cfRule type="expression" dxfId="151" priority="152">
      <formula>AND(XFB167=869)</formula>
    </cfRule>
  </conditionalFormatting>
  <conditionalFormatting sqref="A176">
    <cfRule type="expression" dxfId="150" priority="151">
      <formula>AND(XFB168=869)</formula>
    </cfRule>
  </conditionalFormatting>
  <conditionalFormatting sqref="A176">
    <cfRule type="expression" dxfId="149" priority="150">
      <formula>AND(XFB169=869)</formula>
    </cfRule>
  </conditionalFormatting>
  <conditionalFormatting sqref="A176">
    <cfRule type="expression" dxfId="148" priority="149">
      <formula>AND(XFB170=869)</formula>
    </cfRule>
  </conditionalFormatting>
  <conditionalFormatting sqref="A176">
    <cfRule type="expression" dxfId="147" priority="148">
      <formula>AND(XFB171=869)</formula>
    </cfRule>
  </conditionalFormatting>
  <conditionalFormatting sqref="A176">
    <cfRule type="expression" dxfId="146" priority="147">
      <formula>AND(XFB172=869)</formula>
    </cfRule>
  </conditionalFormatting>
  <conditionalFormatting sqref="A176">
    <cfRule type="expression" dxfId="145" priority="146">
      <formula>AND(XFB173=869)</formula>
    </cfRule>
  </conditionalFormatting>
  <conditionalFormatting sqref="A176">
    <cfRule type="expression" dxfId="144" priority="145">
      <formula>AND(XFB174=869)</formula>
    </cfRule>
  </conditionalFormatting>
  <conditionalFormatting sqref="A176">
    <cfRule type="expression" dxfId="143" priority="144">
      <formula>AND(XFB175=869)</formula>
    </cfRule>
  </conditionalFormatting>
  <conditionalFormatting sqref="A176">
    <cfRule type="expression" dxfId="142" priority="143">
      <formula>AND(XFB176=869)</formula>
    </cfRule>
  </conditionalFormatting>
  <conditionalFormatting sqref="A181:A196">
    <cfRule type="expression" dxfId="141" priority="142">
      <formula>AND(XFB162=869)</formula>
    </cfRule>
  </conditionalFormatting>
  <conditionalFormatting sqref="A180">
    <cfRule type="expression" dxfId="140" priority="141">
      <formula>AND(XFB163=869)</formula>
    </cfRule>
  </conditionalFormatting>
  <conditionalFormatting sqref="A180">
    <cfRule type="expression" dxfId="139" priority="140">
      <formula>AND(XFB164=869)</formula>
    </cfRule>
  </conditionalFormatting>
  <conditionalFormatting sqref="A180">
    <cfRule type="expression" dxfId="138" priority="139">
      <formula>AND(XFB165=869)</formula>
    </cfRule>
  </conditionalFormatting>
  <conditionalFormatting sqref="A180">
    <cfRule type="expression" dxfId="137" priority="138">
      <formula>AND(XFB166=869)</formula>
    </cfRule>
  </conditionalFormatting>
  <conditionalFormatting sqref="A180">
    <cfRule type="expression" dxfId="136" priority="137">
      <formula>AND(XFB167=869)</formula>
    </cfRule>
  </conditionalFormatting>
  <conditionalFormatting sqref="A180">
    <cfRule type="expression" dxfId="135" priority="136">
      <formula>AND(XFB168=869)</formula>
    </cfRule>
  </conditionalFormatting>
  <conditionalFormatting sqref="A180">
    <cfRule type="expression" dxfId="134" priority="135">
      <formula>AND(XFB169=869)</formula>
    </cfRule>
  </conditionalFormatting>
  <conditionalFormatting sqref="A180">
    <cfRule type="expression" dxfId="133" priority="134">
      <formula>AND(XFB170=869)</formula>
    </cfRule>
  </conditionalFormatting>
  <conditionalFormatting sqref="A180">
    <cfRule type="expression" dxfId="132" priority="133">
      <formula>AND(XFB171=869)</formula>
    </cfRule>
  </conditionalFormatting>
  <conditionalFormatting sqref="A180">
    <cfRule type="expression" dxfId="131" priority="132">
      <formula>AND(XFB172=869)</formula>
    </cfRule>
  </conditionalFormatting>
  <conditionalFormatting sqref="A180">
    <cfRule type="expression" dxfId="130" priority="131">
      <formula>AND(XFB173=869)</formula>
    </cfRule>
  </conditionalFormatting>
  <conditionalFormatting sqref="A180">
    <cfRule type="expression" dxfId="129" priority="130">
      <formula>AND(XFB174=869)</formula>
    </cfRule>
  </conditionalFormatting>
  <conditionalFormatting sqref="A180">
    <cfRule type="expression" dxfId="128" priority="129">
      <formula>AND(XFB175=869)</formula>
    </cfRule>
  </conditionalFormatting>
  <conditionalFormatting sqref="A180">
    <cfRule type="expression" dxfId="127" priority="128">
      <formula>AND(XFB176=869)</formula>
    </cfRule>
  </conditionalFormatting>
  <conditionalFormatting sqref="A180">
    <cfRule type="expression" dxfId="126" priority="127">
      <formula>AND(XFB177=869)</formula>
    </cfRule>
  </conditionalFormatting>
  <conditionalFormatting sqref="A180">
    <cfRule type="expression" dxfId="125" priority="126">
      <formula>AND(XFB178=869)</formula>
    </cfRule>
  </conditionalFormatting>
  <conditionalFormatting sqref="A180">
    <cfRule type="expression" dxfId="124" priority="125">
      <formula>AND(XFB179=869)</formula>
    </cfRule>
  </conditionalFormatting>
  <conditionalFormatting sqref="A180">
    <cfRule type="expression" dxfId="123" priority="124">
      <formula>AND(XFB180=869)</formula>
    </cfRule>
  </conditionalFormatting>
  <conditionalFormatting sqref="A197:A202">
    <cfRule type="expression" dxfId="122" priority="123">
      <formula>AND(XFB177=869)</formula>
    </cfRule>
  </conditionalFormatting>
  <conditionalFormatting sqref="A196">
    <cfRule type="expression" dxfId="121" priority="122">
      <formula>AND(XFB178=869)</formula>
    </cfRule>
  </conditionalFormatting>
  <conditionalFormatting sqref="A196">
    <cfRule type="expression" dxfId="120" priority="121">
      <formula>AND(XFB179=869)</formula>
    </cfRule>
  </conditionalFormatting>
  <conditionalFormatting sqref="A196">
    <cfRule type="expression" dxfId="119" priority="120">
      <formula>AND(XFB180=869)</formula>
    </cfRule>
  </conditionalFormatting>
  <conditionalFormatting sqref="A196">
    <cfRule type="expression" dxfId="118" priority="119">
      <formula>AND(XFB181=869)</formula>
    </cfRule>
  </conditionalFormatting>
  <conditionalFormatting sqref="A196">
    <cfRule type="expression" dxfId="117" priority="118">
      <formula>AND(XFB182=869)</formula>
    </cfRule>
  </conditionalFormatting>
  <conditionalFormatting sqref="A196">
    <cfRule type="expression" dxfId="116" priority="117">
      <formula>AND(XFB183=869)</formula>
    </cfRule>
  </conditionalFormatting>
  <conditionalFormatting sqref="A196">
    <cfRule type="expression" dxfId="115" priority="116">
      <formula>AND(XFB184=869)</formula>
    </cfRule>
  </conditionalFormatting>
  <conditionalFormatting sqref="A196">
    <cfRule type="expression" dxfId="114" priority="115">
      <formula>AND(XFB185=869)</formula>
    </cfRule>
  </conditionalFormatting>
  <conditionalFormatting sqref="A196">
    <cfRule type="expression" dxfId="113" priority="114">
      <formula>AND(XFB186=869)</formula>
    </cfRule>
  </conditionalFormatting>
  <conditionalFormatting sqref="A196">
    <cfRule type="expression" dxfId="112" priority="113">
      <formula>AND(XFB187=869)</formula>
    </cfRule>
  </conditionalFormatting>
  <conditionalFormatting sqref="A196">
    <cfRule type="expression" dxfId="111" priority="112">
      <formula>AND(XFB188=869)</formula>
    </cfRule>
  </conditionalFormatting>
  <conditionalFormatting sqref="A196">
    <cfRule type="expression" dxfId="110" priority="111">
      <formula>AND(XFB189=869)</formula>
    </cfRule>
  </conditionalFormatting>
  <conditionalFormatting sqref="A196">
    <cfRule type="expression" dxfId="109" priority="110">
      <formula>AND(XFB190=869)</formula>
    </cfRule>
  </conditionalFormatting>
  <conditionalFormatting sqref="A196">
    <cfRule type="expression" dxfId="108" priority="109">
      <formula>AND(XFB191=869)</formula>
    </cfRule>
  </conditionalFormatting>
  <conditionalFormatting sqref="A196">
    <cfRule type="expression" dxfId="107" priority="108">
      <formula>AND(XFB192=869)</formula>
    </cfRule>
  </conditionalFormatting>
  <conditionalFormatting sqref="A196">
    <cfRule type="expression" dxfId="106" priority="107">
      <formula>AND(XFB193=869)</formula>
    </cfRule>
  </conditionalFormatting>
  <conditionalFormatting sqref="A196">
    <cfRule type="expression" dxfId="105" priority="106">
      <formula>AND(XFB194=869)</formula>
    </cfRule>
  </conditionalFormatting>
  <conditionalFormatting sqref="A196">
    <cfRule type="expression" dxfId="104" priority="105">
      <formula>AND(XFB195=869)</formula>
    </cfRule>
  </conditionalFormatting>
  <conditionalFormatting sqref="A196">
    <cfRule type="expression" dxfId="103" priority="104">
      <formula>AND(XFB196=869)</formula>
    </cfRule>
  </conditionalFormatting>
  <conditionalFormatting sqref="A203:A210">
    <cfRule type="expression" dxfId="102" priority="103">
      <formula>AND(XFB182=869)</formula>
    </cfRule>
  </conditionalFormatting>
  <conditionalFormatting sqref="A202">
    <cfRule type="expression" dxfId="101" priority="102">
      <formula>AND(XFB183=869)</formula>
    </cfRule>
  </conditionalFormatting>
  <conditionalFormatting sqref="A202">
    <cfRule type="expression" dxfId="100" priority="101">
      <formula>AND(XFB184=869)</formula>
    </cfRule>
  </conditionalFormatting>
  <conditionalFormatting sqref="A202">
    <cfRule type="expression" dxfId="99" priority="100">
      <formula>AND(XFB185=869)</formula>
    </cfRule>
  </conditionalFormatting>
  <conditionalFormatting sqref="A202">
    <cfRule type="expression" dxfId="98" priority="99">
      <formula>AND(XFB186=869)</formula>
    </cfRule>
  </conditionalFormatting>
  <conditionalFormatting sqref="A202">
    <cfRule type="expression" dxfId="97" priority="98">
      <formula>AND(XFB187=869)</formula>
    </cfRule>
  </conditionalFormatting>
  <conditionalFormatting sqref="A202">
    <cfRule type="expression" dxfId="96" priority="97">
      <formula>AND(XFB188=869)</formula>
    </cfRule>
  </conditionalFormatting>
  <conditionalFormatting sqref="A202">
    <cfRule type="expression" dxfId="95" priority="96">
      <formula>AND(XFB189=869)</formula>
    </cfRule>
  </conditionalFormatting>
  <conditionalFormatting sqref="A202">
    <cfRule type="expression" dxfId="94" priority="95">
      <formula>AND(XFB190=869)</formula>
    </cfRule>
  </conditionalFormatting>
  <conditionalFormatting sqref="A202">
    <cfRule type="expression" dxfId="93" priority="94">
      <formula>AND(XFB191=869)</formula>
    </cfRule>
  </conditionalFormatting>
  <conditionalFormatting sqref="A202">
    <cfRule type="expression" dxfId="92" priority="93">
      <formula>AND(XFB192=869)</formula>
    </cfRule>
  </conditionalFormatting>
  <conditionalFormatting sqref="A202">
    <cfRule type="expression" dxfId="91" priority="92">
      <formula>AND(XFB193=869)</formula>
    </cfRule>
  </conditionalFormatting>
  <conditionalFormatting sqref="A202">
    <cfRule type="expression" dxfId="90" priority="91">
      <formula>AND(XFB194=869)</formula>
    </cfRule>
  </conditionalFormatting>
  <conditionalFormatting sqref="A202">
    <cfRule type="expression" dxfId="89" priority="90">
      <formula>AND(XFB195=869)</formula>
    </cfRule>
  </conditionalFormatting>
  <conditionalFormatting sqref="A202">
    <cfRule type="expression" dxfId="88" priority="89">
      <formula>AND(XFB196=869)</formula>
    </cfRule>
  </conditionalFormatting>
  <conditionalFormatting sqref="A202">
    <cfRule type="expression" dxfId="87" priority="88">
      <formula>AND(XFB197=869)</formula>
    </cfRule>
  </conditionalFormatting>
  <conditionalFormatting sqref="A202">
    <cfRule type="expression" dxfId="86" priority="87">
      <formula>AND(XFB198=869)</formula>
    </cfRule>
  </conditionalFormatting>
  <conditionalFormatting sqref="A202">
    <cfRule type="expression" dxfId="85" priority="86">
      <formula>AND(XFB199=869)</formula>
    </cfRule>
  </conditionalFormatting>
  <conditionalFormatting sqref="A202">
    <cfRule type="expression" dxfId="84" priority="85">
      <formula>AND(XFB200=869)</formula>
    </cfRule>
  </conditionalFormatting>
  <conditionalFormatting sqref="A202">
    <cfRule type="expression" dxfId="83" priority="84">
      <formula>AND(XFB201=869)</formula>
    </cfRule>
  </conditionalFormatting>
  <conditionalFormatting sqref="A202">
    <cfRule type="expression" dxfId="82" priority="83">
      <formula>AND(XFB202=869)</formula>
    </cfRule>
  </conditionalFormatting>
  <conditionalFormatting sqref="A213:A222">
    <cfRule type="expression" dxfId="81" priority="82">
      <formula>AND(XFB190=869)</formula>
    </cfRule>
  </conditionalFormatting>
  <conditionalFormatting sqref="A212">
    <cfRule type="expression" dxfId="80" priority="81">
      <formula>AND(XFB191=869)</formula>
    </cfRule>
  </conditionalFormatting>
  <conditionalFormatting sqref="A212">
    <cfRule type="expression" dxfId="79" priority="80">
      <formula>AND(XFB192=869)</formula>
    </cfRule>
  </conditionalFormatting>
  <conditionalFormatting sqref="A212">
    <cfRule type="expression" dxfId="78" priority="79">
      <formula>AND(XFB193=869)</formula>
    </cfRule>
  </conditionalFormatting>
  <conditionalFormatting sqref="A212">
    <cfRule type="expression" dxfId="77" priority="78">
      <formula>AND(XFB194=869)</formula>
    </cfRule>
  </conditionalFormatting>
  <conditionalFormatting sqref="A212">
    <cfRule type="expression" dxfId="76" priority="77">
      <formula>AND(XFB195=869)</formula>
    </cfRule>
  </conditionalFormatting>
  <conditionalFormatting sqref="A212">
    <cfRule type="expression" dxfId="75" priority="76">
      <formula>AND(XFB196=869)</formula>
    </cfRule>
  </conditionalFormatting>
  <conditionalFormatting sqref="A212">
    <cfRule type="expression" dxfId="74" priority="75">
      <formula>AND(XFB197=869)</formula>
    </cfRule>
  </conditionalFormatting>
  <conditionalFormatting sqref="A212">
    <cfRule type="expression" dxfId="73" priority="74">
      <formula>AND(XFB198=869)</formula>
    </cfRule>
  </conditionalFormatting>
  <conditionalFormatting sqref="A212">
    <cfRule type="expression" dxfId="72" priority="73">
      <formula>AND(XFB199=869)</formula>
    </cfRule>
  </conditionalFormatting>
  <conditionalFormatting sqref="A212">
    <cfRule type="expression" dxfId="71" priority="72">
      <formula>AND(XFB200=869)</formula>
    </cfRule>
  </conditionalFormatting>
  <conditionalFormatting sqref="A212">
    <cfRule type="expression" dxfId="70" priority="71">
      <formula>AND(XFB201=869)</formula>
    </cfRule>
  </conditionalFormatting>
  <conditionalFormatting sqref="A212">
    <cfRule type="expression" dxfId="69" priority="70">
      <formula>AND(XFB202=869)</formula>
    </cfRule>
  </conditionalFormatting>
  <conditionalFormatting sqref="A212">
    <cfRule type="expression" dxfId="68" priority="69">
      <formula>AND(XFB203=869)</formula>
    </cfRule>
  </conditionalFormatting>
  <conditionalFormatting sqref="A212">
    <cfRule type="expression" dxfId="67" priority="68">
      <formula>AND(XFB204=869)</formula>
    </cfRule>
  </conditionalFormatting>
  <conditionalFormatting sqref="A212">
    <cfRule type="expression" dxfId="66" priority="67">
      <formula>AND(XFB205=869)</formula>
    </cfRule>
  </conditionalFormatting>
  <conditionalFormatting sqref="A212">
    <cfRule type="expression" dxfId="65" priority="66">
      <formula>AND(XFB206=869)</formula>
    </cfRule>
  </conditionalFormatting>
  <conditionalFormatting sqref="A212">
    <cfRule type="expression" dxfId="64" priority="65">
      <formula>AND(XFB207=869)</formula>
    </cfRule>
  </conditionalFormatting>
  <conditionalFormatting sqref="A212">
    <cfRule type="expression" dxfId="63" priority="64">
      <formula>AND(XFB208=869)</formula>
    </cfRule>
  </conditionalFormatting>
  <conditionalFormatting sqref="A212">
    <cfRule type="expression" dxfId="62" priority="63">
      <formula>AND(XFB209=869)</formula>
    </cfRule>
  </conditionalFormatting>
  <conditionalFormatting sqref="A212">
    <cfRule type="expression" dxfId="61" priority="62">
      <formula>AND(XFB211=869)</formula>
    </cfRule>
  </conditionalFormatting>
  <conditionalFormatting sqref="A212">
    <cfRule type="expression" dxfId="60" priority="61">
      <formula>AND(XFB212=869)</formula>
    </cfRule>
  </conditionalFormatting>
  <conditionalFormatting sqref="A223:A225">
    <cfRule type="expression" dxfId="59" priority="60">
      <formula>AND(XFB199=869)</formula>
    </cfRule>
  </conditionalFormatting>
  <conditionalFormatting sqref="A222 A211:A212">
    <cfRule type="expression" dxfId="58" priority="59">
      <formula>AND(XFB189=869)</formula>
    </cfRule>
  </conditionalFormatting>
  <conditionalFormatting sqref="A222">
    <cfRule type="expression" dxfId="57" priority="58">
      <formula>AND(XFB201=869)</formula>
    </cfRule>
  </conditionalFormatting>
  <conditionalFormatting sqref="A222">
    <cfRule type="expression" dxfId="56" priority="57">
      <formula>AND(XFB202=869)</formula>
    </cfRule>
  </conditionalFormatting>
  <conditionalFormatting sqref="A222">
    <cfRule type="expression" dxfId="55" priority="56">
      <formula>AND(XFB203=869)</formula>
    </cfRule>
  </conditionalFormatting>
  <conditionalFormatting sqref="A222">
    <cfRule type="expression" dxfId="54" priority="55">
      <formula>AND(XFB204=869)</formula>
    </cfRule>
  </conditionalFormatting>
  <conditionalFormatting sqref="A222">
    <cfRule type="expression" dxfId="53" priority="54">
      <formula>AND(XFB205=869)</formula>
    </cfRule>
  </conditionalFormatting>
  <conditionalFormatting sqref="A222">
    <cfRule type="expression" dxfId="52" priority="53">
      <formula>AND(XFB206=869)</formula>
    </cfRule>
  </conditionalFormatting>
  <conditionalFormatting sqref="A222">
    <cfRule type="expression" dxfId="51" priority="52">
      <formula>AND(XFB207=869)</formula>
    </cfRule>
  </conditionalFormatting>
  <conditionalFormatting sqref="A222">
    <cfRule type="expression" dxfId="50" priority="51">
      <formula>AND(XFB208=869)</formula>
    </cfRule>
  </conditionalFormatting>
  <conditionalFormatting sqref="A222">
    <cfRule type="expression" dxfId="49" priority="50">
      <formula>AND(XFB209=869)</formula>
    </cfRule>
  </conditionalFormatting>
  <conditionalFormatting sqref="A222">
    <cfRule type="expression" dxfId="48" priority="49">
      <formula>AND(XFB211=869)</formula>
    </cfRule>
  </conditionalFormatting>
  <conditionalFormatting sqref="A222">
    <cfRule type="expression" dxfId="47" priority="48">
      <formula>AND(XFB212=869)</formula>
    </cfRule>
  </conditionalFormatting>
  <conditionalFormatting sqref="A222">
    <cfRule type="expression" dxfId="46" priority="47">
      <formula>AND(XFB213=869)</formula>
    </cfRule>
  </conditionalFormatting>
  <conditionalFormatting sqref="A222">
    <cfRule type="expression" dxfId="45" priority="46">
      <formula>AND(XFB214=869)</formula>
    </cfRule>
  </conditionalFormatting>
  <conditionalFormatting sqref="A222">
    <cfRule type="expression" dxfId="44" priority="45">
      <formula>AND(XFB215=869)</formula>
    </cfRule>
  </conditionalFormatting>
  <conditionalFormatting sqref="A222">
    <cfRule type="expression" dxfId="43" priority="44">
      <formula>AND(XFB216=869)</formula>
    </cfRule>
  </conditionalFormatting>
  <conditionalFormatting sqref="A222">
    <cfRule type="expression" dxfId="42" priority="43">
      <formula>AND(XFB217=869)</formula>
    </cfRule>
  </conditionalFormatting>
  <conditionalFormatting sqref="A222">
    <cfRule type="expression" dxfId="41" priority="42">
      <formula>AND(XFB218=869)</formula>
    </cfRule>
  </conditionalFormatting>
  <conditionalFormatting sqref="A222">
    <cfRule type="expression" dxfId="40" priority="41">
      <formula>AND(XFB219=869)</formula>
    </cfRule>
  </conditionalFormatting>
  <conditionalFormatting sqref="A222">
    <cfRule type="expression" dxfId="39" priority="40">
      <formula>AND(XFB220=869)</formula>
    </cfRule>
  </conditionalFormatting>
  <conditionalFormatting sqref="A222">
    <cfRule type="expression" dxfId="38" priority="39">
      <formula>AND(XFB221=869)</formula>
    </cfRule>
  </conditionalFormatting>
  <conditionalFormatting sqref="A222">
    <cfRule type="expression" dxfId="37" priority="38">
      <formula>AND(XFB222=869)</formula>
    </cfRule>
  </conditionalFormatting>
  <conditionalFormatting sqref="A226:A229 A231">
    <cfRule type="expression" dxfId="36" priority="37">
      <formula>AND(XFB201=869)</formula>
    </cfRule>
  </conditionalFormatting>
  <conditionalFormatting sqref="A225">
    <cfRule type="expression" dxfId="35" priority="36">
      <formula>AND(XFB202=869)</formula>
    </cfRule>
  </conditionalFormatting>
  <conditionalFormatting sqref="A225">
    <cfRule type="expression" dxfId="34" priority="35">
      <formula>AND(XFB203=869)</formula>
    </cfRule>
  </conditionalFormatting>
  <conditionalFormatting sqref="A225">
    <cfRule type="expression" dxfId="33" priority="34">
      <formula>AND(XFB204=869)</formula>
    </cfRule>
  </conditionalFormatting>
  <conditionalFormatting sqref="A225">
    <cfRule type="expression" dxfId="32" priority="33">
      <formula>AND(XFB205=869)</formula>
    </cfRule>
  </conditionalFormatting>
  <conditionalFormatting sqref="A225">
    <cfRule type="expression" dxfId="31" priority="32">
      <formula>AND(XFB206=869)</formula>
    </cfRule>
  </conditionalFormatting>
  <conditionalFormatting sqref="A225">
    <cfRule type="expression" dxfId="30" priority="31">
      <formula>AND(XFB207=869)</formula>
    </cfRule>
  </conditionalFormatting>
  <conditionalFormatting sqref="A225">
    <cfRule type="expression" dxfId="29" priority="30">
      <formula>AND(XFB208=869)</formula>
    </cfRule>
  </conditionalFormatting>
  <conditionalFormatting sqref="A225">
    <cfRule type="expression" dxfId="28" priority="29">
      <formula>AND(XFB209=869)</formula>
    </cfRule>
  </conditionalFormatting>
  <conditionalFormatting sqref="A225">
    <cfRule type="expression" dxfId="27" priority="28">
      <formula>AND(XFB211=869)</formula>
    </cfRule>
  </conditionalFormatting>
  <conditionalFormatting sqref="A225">
    <cfRule type="expression" dxfId="26" priority="27">
      <formula>AND(XFB212=869)</formula>
    </cfRule>
  </conditionalFormatting>
  <conditionalFormatting sqref="A225">
    <cfRule type="expression" dxfId="25" priority="26">
      <formula>AND(XFB213=869)</formula>
    </cfRule>
  </conditionalFormatting>
  <conditionalFormatting sqref="A225">
    <cfRule type="expression" dxfId="24" priority="25">
      <formula>AND(XFB214=869)</formula>
    </cfRule>
  </conditionalFormatting>
  <conditionalFormatting sqref="A225">
    <cfRule type="expression" dxfId="23" priority="24">
      <formula>AND(XFB215=869)</formula>
    </cfRule>
  </conditionalFormatting>
  <conditionalFormatting sqref="A225">
    <cfRule type="expression" dxfId="22" priority="23">
      <formula>AND(XFB216=869)</formula>
    </cfRule>
  </conditionalFormatting>
  <conditionalFormatting sqref="A225">
    <cfRule type="expression" dxfId="21" priority="22">
      <formula>AND(XFB217=869)</formula>
    </cfRule>
  </conditionalFormatting>
  <conditionalFormatting sqref="A225">
    <cfRule type="expression" dxfId="20" priority="21">
      <formula>AND(XFB218=869)</formula>
    </cfRule>
  </conditionalFormatting>
  <conditionalFormatting sqref="A225">
    <cfRule type="expression" dxfId="19" priority="20">
      <formula>AND(XFB219=869)</formula>
    </cfRule>
  </conditionalFormatting>
  <conditionalFormatting sqref="A225">
    <cfRule type="expression" dxfId="18" priority="19">
      <formula>AND(XFB220=869)</formula>
    </cfRule>
  </conditionalFormatting>
  <conditionalFormatting sqref="A225">
    <cfRule type="expression" dxfId="17" priority="18">
      <formula>AND(XFB221=869)</formula>
    </cfRule>
  </conditionalFormatting>
  <conditionalFormatting sqref="A225">
    <cfRule type="expression" dxfId="16" priority="17">
      <formula>AND(XFB222=869)</formula>
    </cfRule>
  </conditionalFormatting>
  <conditionalFormatting sqref="A225">
    <cfRule type="expression" dxfId="15" priority="16">
      <formula>AND(XFB223=869)</formula>
    </cfRule>
  </conditionalFormatting>
  <conditionalFormatting sqref="A225">
    <cfRule type="expression" dxfId="14" priority="15">
      <formula>AND(XFB224=869)</formula>
    </cfRule>
  </conditionalFormatting>
  <conditionalFormatting sqref="A225">
    <cfRule type="expression" dxfId="13" priority="14">
      <formula>AND(XFB225=869)</formula>
    </cfRule>
  </conditionalFormatting>
  <conditionalFormatting sqref="A91:A92">
    <cfRule type="expression" dxfId="12" priority="13">
      <formula>AND(XFB120=869)</formula>
    </cfRule>
  </conditionalFormatting>
  <conditionalFormatting sqref="A93:A95">
    <cfRule type="expression" dxfId="11" priority="12">
      <formula>AND(XFB121=869)</formula>
    </cfRule>
  </conditionalFormatting>
  <conditionalFormatting sqref="A132">
    <cfRule type="expression" dxfId="10" priority="11">
      <formula>AND(XFB91=869)</formula>
    </cfRule>
  </conditionalFormatting>
  <conditionalFormatting sqref="A132">
    <cfRule type="expression" dxfId="9" priority="10">
      <formula>AND(XFB92=869)</formula>
    </cfRule>
  </conditionalFormatting>
  <conditionalFormatting sqref="A132">
    <cfRule type="expression" dxfId="8" priority="9">
      <formula>AND(XFB93=869)</formula>
    </cfRule>
  </conditionalFormatting>
  <conditionalFormatting sqref="A132">
    <cfRule type="expression" dxfId="7" priority="8">
      <formula>AND(XFB94=869)</formula>
    </cfRule>
  </conditionalFormatting>
  <conditionalFormatting sqref="A132">
    <cfRule type="expression" dxfId="6" priority="7">
      <formula>AND(XFB95=869)</formula>
    </cfRule>
  </conditionalFormatting>
  <conditionalFormatting sqref="A140:A144">
    <cfRule type="expression" dxfId="5" priority="6">
      <formula>AND(XFB91=869)</formula>
    </cfRule>
  </conditionalFormatting>
  <conditionalFormatting sqref="A138">
    <cfRule type="expression" dxfId="4" priority="5">
      <formula>AND(XFB91=869)</formula>
    </cfRule>
  </conditionalFormatting>
  <conditionalFormatting sqref="A138">
    <cfRule type="expression" dxfId="3" priority="4">
      <formula>AND(XFB92=869)</formula>
    </cfRule>
  </conditionalFormatting>
  <conditionalFormatting sqref="A138">
    <cfRule type="expression" dxfId="2" priority="3">
      <formula>AND(XFB93=869)</formula>
    </cfRule>
  </conditionalFormatting>
  <conditionalFormatting sqref="A138">
    <cfRule type="expression" dxfId="1" priority="2">
      <formula>AND(XFB94=869)</formula>
    </cfRule>
  </conditionalFormatting>
  <conditionalFormatting sqref="A138">
    <cfRule type="expression" dxfId="0" priority="1">
      <formula>AND(XFB95=869)</formula>
    </cfRule>
  </conditionalFormatting>
  <dataValidations count="2">
    <dataValidation type="list" allowBlank="1" showInputMessage="1" showErrorMessage="1" sqref="A234">
      <formula1>Області</formula1>
    </dataValidation>
    <dataValidation type="list" allowBlank="1" showInputMessage="1" showErrorMessage="1" sqref="A236:B236">
      <formula1>INDIRECT(SUBSTITUTE($A$234," ","_"))</formula1>
    </dataValidation>
  </dataValidation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topLeftCell="A21" workbookViewId="0">
      <selection activeCell="A26" sqref="A26"/>
    </sheetView>
  </sheetViews>
  <sheetFormatPr defaultRowHeight="15" x14ac:dyDescent="0.25"/>
  <cols>
    <col min="1" max="1" width="56.7109375" customWidth="1"/>
  </cols>
  <sheetData>
    <row r="1" spans="1:1" x14ac:dyDescent="0.25">
      <c r="A1" t="str">
        <f>'Тарифи ЦО'!A3</f>
        <v>Вінницька</v>
      </c>
    </row>
    <row r="2" spans="1:1" x14ac:dyDescent="0.25">
      <c r="A2" t="str">
        <f>'Тарифи ЦО'!A10</f>
        <v>Волинська</v>
      </c>
    </row>
    <row r="3" spans="1:1" x14ac:dyDescent="0.25">
      <c r="A3" t="str">
        <f>'Тарифи ЦО'!A17</f>
        <v>Дніпропетровська</v>
      </c>
    </row>
    <row r="4" spans="1:1" x14ac:dyDescent="0.25">
      <c r="A4" t="str">
        <f>'Тарифи ЦО'!A38</f>
        <v>Донецька</v>
      </c>
    </row>
    <row r="5" spans="1:1" x14ac:dyDescent="0.25">
      <c r="A5" t="str">
        <f>'Тарифи ЦО'!A58</f>
        <v>Житомирська</v>
      </c>
    </row>
    <row r="6" spans="1:1" x14ac:dyDescent="0.25">
      <c r="A6" t="str">
        <f>'Тарифи ЦО'!A65</f>
        <v>Запорізька</v>
      </c>
    </row>
    <row r="7" spans="1:1" x14ac:dyDescent="0.25">
      <c r="A7" t="str">
        <f>'Тарифи ЦО'!A73</f>
        <v>Івано_Франківська</v>
      </c>
    </row>
    <row r="8" spans="1:1" x14ac:dyDescent="0.25">
      <c r="A8" t="str">
        <f>'Тарифи ЦО'!A78</f>
        <v>Київська</v>
      </c>
    </row>
    <row r="9" spans="1:1" x14ac:dyDescent="0.25">
      <c r="A9" t="str">
        <f>'Тарифи ЦО'!A91</f>
        <v>Київ</v>
      </c>
    </row>
    <row r="10" spans="1:1" x14ac:dyDescent="0.25">
      <c r="A10" t="str">
        <f>'Тарифи ЦО'!A96</f>
        <v>Кіровоградська</v>
      </c>
    </row>
    <row r="11" spans="1:1" x14ac:dyDescent="0.25">
      <c r="A11" t="str">
        <f>'Тарифи ЦО'!A103</f>
        <v>Луганська</v>
      </c>
    </row>
    <row r="12" spans="1:1" x14ac:dyDescent="0.25">
      <c r="A12" t="str">
        <f>'Тарифи ЦО'!A115</f>
        <v>Львiвська</v>
      </c>
    </row>
    <row r="13" spans="1:1" x14ac:dyDescent="0.25">
      <c r="A13" t="str">
        <f>'Тарифи ЦО'!A131</f>
        <v>Миколаївська</v>
      </c>
    </row>
    <row r="14" spans="1:1" x14ac:dyDescent="0.25">
      <c r="A14" t="str">
        <f>'Тарифи ЦО'!A137</f>
        <v>Одеська</v>
      </c>
    </row>
    <row r="15" spans="1:1" x14ac:dyDescent="0.25">
      <c r="A15" t="str">
        <f>'Тарифи ЦО'!A146</f>
        <v>Полтавська</v>
      </c>
    </row>
    <row r="16" spans="1:1" x14ac:dyDescent="0.25">
      <c r="A16" t="str">
        <f>'Тарифи ЦО'!A155</f>
        <v>Рівненська</v>
      </c>
    </row>
    <row r="17" spans="1:1" x14ac:dyDescent="0.25">
      <c r="A17" t="str">
        <f>'Тарифи ЦО'!A162</f>
        <v>Сумська</v>
      </c>
    </row>
    <row r="18" spans="1:1" x14ac:dyDescent="0.25">
      <c r="A18" t="str">
        <f>'Тарифи ЦО'!A175</f>
        <v>Тернопільська</v>
      </c>
    </row>
    <row r="19" spans="1:1" x14ac:dyDescent="0.25">
      <c r="A19" t="str">
        <f>'Тарифи ЦО'!A179</f>
        <v>Харківська</v>
      </c>
    </row>
    <row r="20" spans="1:1" x14ac:dyDescent="0.25">
      <c r="A20" t="str">
        <f>'Тарифи ЦО'!A195</f>
        <v>Херсонська</v>
      </c>
    </row>
    <row r="21" spans="1:1" x14ac:dyDescent="0.25">
      <c r="A21" t="str">
        <f>'Тарифи ЦО'!A201</f>
        <v>Хмельницька</v>
      </c>
    </row>
    <row r="22" spans="1:1" x14ac:dyDescent="0.25">
      <c r="A22" t="str">
        <f>'Тарифи ЦО'!A211</f>
        <v>Черкаська</v>
      </c>
    </row>
    <row r="23" spans="1:1" x14ac:dyDescent="0.25">
      <c r="A23" t="str">
        <f>'Тарифи ЦО'!A221</f>
        <v>Чернівецька</v>
      </c>
    </row>
    <row r="24" spans="1:1" x14ac:dyDescent="0.25">
      <c r="A24" t="str">
        <f>'Тарифи ЦО'!A224</f>
        <v>Чернігівська</v>
      </c>
    </row>
    <row r="25" spans="1:1" x14ac:dyDescent="0.25">
      <c r="A25" t="s">
        <v>596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topLeftCell="A4" zoomScale="80" zoomScaleNormal="80" workbookViewId="0">
      <selection activeCell="F78" sqref="F78"/>
    </sheetView>
  </sheetViews>
  <sheetFormatPr defaultRowHeight="15" x14ac:dyDescent="0.25"/>
  <cols>
    <col min="1" max="1" width="24.42578125" customWidth="1"/>
    <col min="2" max="2" width="25.5703125" customWidth="1"/>
    <col min="3" max="3" width="58" customWidth="1"/>
    <col min="4" max="4" width="21.28515625" customWidth="1"/>
    <col min="5" max="5" width="23.5703125" customWidth="1"/>
    <col min="6" max="6" width="61" customWidth="1"/>
    <col min="7" max="7" width="23.85546875" customWidth="1"/>
    <col min="8" max="8" width="23.5703125" customWidth="1"/>
    <col min="9" max="9" width="15.85546875" customWidth="1"/>
    <col min="10" max="10" width="14.42578125" customWidth="1"/>
    <col min="11" max="11" width="15" customWidth="1"/>
    <col min="13" max="13" width="31" customWidth="1"/>
    <col min="14" max="14" width="62" customWidth="1"/>
  </cols>
  <sheetData>
    <row r="1" spans="1:13" x14ac:dyDescent="0.25">
      <c r="B1" s="16" t="s">
        <v>174</v>
      </c>
      <c r="C1" s="22" t="s">
        <v>75</v>
      </c>
      <c r="D1" s="22" t="s">
        <v>74</v>
      </c>
      <c r="E1" s="22" t="s">
        <v>72</v>
      </c>
      <c r="F1" s="22" t="s">
        <v>173</v>
      </c>
      <c r="G1" s="22" t="s">
        <v>172</v>
      </c>
      <c r="H1" s="36">
        <v>3</v>
      </c>
    </row>
    <row r="2" spans="1:13" x14ac:dyDescent="0.25">
      <c r="A2">
        <v>1</v>
      </c>
      <c r="B2" s="37" t="s">
        <v>171</v>
      </c>
      <c r="C2" s="22" t="s">
        <v>170</v>
      </c>
      <c r="D2" s="22" t="s">
        <v>169</v>
      </c>
      <c r="E2" s="22" t="s">
        <v>140</v>
      </c>
      <c r="F2" s="22" t="s">
        <v>168</v>
      </c>
      <c r="G2" s="22">
        <v>4</v>
      </c>
      <c r="H2" s="36"/>
    </row>
    <row r="3" spans="1:13" x14ac:dyDescent="0.25">
      <c r="A3">
        <v>2</v>
      </c>
      <c r="B3" s="37" t="s">
        <v>167</v>
      </c>
      <c r="C3" s="22" t="s">
        <v>166</v>
      </c>
      <c r="D3" s="22" t="s">
        <v>165</v>
      </c>
      <c r="E3" s="22" t="s">
        <v>140</v>
      </c>
      <c r="F3" s="38" t="s">
        <v>164</v>
      </c>
      <c r="G3" s="22">
        <v>3.5</v>
      </c>
      <c r="H3" s="36"/>
    </row>
    <row r="4" spans="1:13" x14ac:dyDescent="0.25">
      <c r="A4">
        <v>3</v>
      </c>
      <c r="B4" s="37" t="s">
        <v>163</v>
      </c>
      <c r="C4" s="22" t="s">
        <v>162</v>
      </c>
      <c r="D4" s="22" t="s">
        <v>161</v>
      </c>
      <c r="E4" s="22" t="s">
        <v>145</v>
      </c>
      <c r="F4" s="22" t="s">
        <v>152</v>
      </c>
      <c r="G4" s="22">
        <v>3</v>
      </c>
      <c r="H4" s="36"/>
    </row>
    <row r="5" spans="1:13" ht="17.25" customHeight="1" x14ac:dyDescent="0.25">
      <c r="A5">
        <v>4</v>
      </c>
      <c r="B5" s="37" t="s">
        <v>160</v>
      </c>
      <c r="C5" s="22" t="s">
        <v>157</v>
      </c>
      <c r="D5" s="22" t="s">
        <v>159</v>
      </c>
      <c r="E5" s="22" t="s">
        <v>145</v>
      </c>
      <c r="F5" s="22" t="s">
        <v>144</v>
      </c>
      <c r="G5" s="22">
        <v>3</v>
      </c>
      <c r="H5" s="36"/>
    </row>
    <row r="6" spans="1:13" x14ac:dyDescent="0.25">
      <c r="A6">
        <v>5</v>
      </c>
      <c r="B6" s="37" t="s">
        <v>158</v>
      </c>
      <c r="C6" s="22" t="s">
        <v>157</v>
      </c>
      <c r="D6" s="22" t="s">
        <v>156</v>
      </c>
      <c r="E6" s="22" t="s">
        <v>145</v>
      </c>
      <c r="F6" s="22" t="s">
        <v>144</v>
      </c>
      <c r="G6" s="22">
        <v>3</v>
      </c>
      <c r="H6" s="36"/>
    </row>
    <row r="7" spans="1:13" x14ac:dyDescent="0.25">
      <c r="A7">
        <v>6</v>
      </c>
      <c r="B7" s="37" t="s">
        <v>155</v>
      </c>
      <c r="C7" s="22" t="s">
        <v>154</v>
      </c>
      <c r="D7" s="22" t="s">
        <v>153</v>
      </c>
      <c r="E7" s="22" t="s">
        <v>140</v>
      </c>
      <c r="F7" s="22" t="s">
        <v>152</v>
      </c>
      <c r="G7" s="22">
        <v>3</v>
      </c>
      <c r="H7" s="36"/>
    </row>
    <row r="8" spans="1:13" ht="25.5" x14ac:dyDescent="0.25">
      <c r="A8">
        <v>7</v>
      </c>
      <c r="B8" s="37" t="s">
        <v>151</v>
      </c>
      <c r="C8" s="22" t="s">
        <v>150</v>
      </c>
      <c r="D8" s="22" t="s">
        <v>149</v>
      </c>
      <c r="E8" s="22" t="s">
        <v>140</v>
      </c>
      <c r="F8" s="22" t="s">
        <v>144</v>
      </c>
      <c r="G8" s="22">
        <v>3</v>
      </c>
      <c r="H8" s="36"/>
    </row>
    <row r="9" spans="1:13" x14ac:dyDescent="0.25">
      <c r="A9">
        <v>8</v>
      </c>
      <c r="B9" s="37" t="s">
        <v>148</v>
      </c>
      <c r="C9" s="22" t="s">
        <v>147</v>
      </c>
      <c r="D9" s="22" t="s">
        <v>146</v>
      </c>
      <c r="E9" s="22" t="s">
        <v>145</v>
      </c>
      <c r="F9" s="22" t="s">
        <v>144</v>
      </c>
      <c r="G9" s="22">
        <v>3</v>
      </c>
      <c r="H9" s="36"/>
    </row>
    <row r="10" spans="1:13" ht="25.5" x14ac:dyDescent="0.25">
      <c r="A10">
        <v>9</v>
      </c>
      <c r="B10" s="37" t="s">
        <v>143</v>
      </c>
      <c r="C10" s="22" t="s">
        <v>142</v>
      </c>
      <c r="D10" s="22" t="s">
        <v>141</v>
      </c>
      <c r="E10" s="22" t="s">
        <v>140</v>
      </c>
      <c r="F10" s="22" t="s">
        <v>139</v>
      </c>
      <c r="G10" s="22">
        <v>3</v>
      </c>
      <c r="H10" s="36"/>
    </row>
    <row r="11" spans="1:13" s="97" customFormat="1" x14ac:dyDescent="0.25">
      <c r="B11" s="97">
        <v>1</v>
      </c>
      <c r="C11" s="121" t="s">
        <v>138</v>
      </c>
      <c r="D11" s="97">
        <v>1</v>
      </c>
    </row>
    <row r="12" spans="1:13" s="97" customFormat="1" x14ac:dyDescent="0.25">
      <c r="B12" s="97">
        <v>2</v>
      </c>
      <c r="C12" s="121" t="s">
        <v>386</v>
      </c>
    </row>
    <row r="15" spans="1:13" x14ac:dyDescent="0.25">
      <c r="A15" t="s">
        <v>74</v>
      </c>
      <c r="C15" s="34" t="s">
        <v>137</v>
      </c>
      <c r="D15" s="35" t="s">
        <v>136</v>
      </c>
      <c r="E15" s="213" t="s">
        <v>135</v>
      </c>
      <c r="F15" s="213"/>
      <c r="G15" s="34" t="s">
        <v>94</v>
      </c>
      <c r="H15" s="33" t="s">
        <v>134</v>
      </c>
      <c r="I15" s="33" t="s">
        <v>133</v>
      </c>
      <c r="J15" s="33" t="s">
        <v>132</v>
      </c>
      <c r="K15" s="33" t="s">
        <v>131</v>
      </c>
      <c r="M15" s="33" t="s">
        <v>130</v>
      </c>
    </row>
    <row r="16" spans="1:13" x14ac:dyDescent="0.25">
      <c r="A16">
        <v>1</v>
      </c>
      <c r="B16">
        <v>1</v>
      </c>
      <c r="C16" s="21" t="s">
        <v>129</v>
      </c>
      <c r="D16" s="32" t="s">
        <v>129</v>
      </c>
      <c r="E16" s="21" t="s">
        <v>129</v>
      </c>
      <c r="F16" s="21" t="s">
        <v>129</v>
      </c>
      <c r="G16" s="21" t="s">
        <v>129</v>
      </c>
      <c r="H16" s="214"/>
      <c r="I16" s="214"/>
      <c r="J16" s="214"/>
      <c r="K16" s="214"/>
    </row>
    <row r="17" spans="1:14" x14ac:dyDescent="0.25">
      <c r="A17">
        <v>2</v>
      </c>
      <c r="B17">
        <v>2</v>
      </c>
      <c r="C17" s="9" t="s">
        <v>56</v>
      </c>
      <c r="D17" s="21">
        <v>11</v>
      </c>
      <c r="E17" s="21">
        <f t="shared" ref="E17:E25" si="0">IF(F17,1,0)</f>
        <v>1</v>
      </c>
      <c r="F17" s="30" t="b">
        <f>'Калькулятор ОСББ'!G24</f>
        <v>1</v>
      </c>
      <c r="G17" s="13">
        <f>Розрахунки!$G$3*(D17/100)*E17</f>
        <v>148.12082999999998</v>
      </c>
      <c r="H17" s="214"/>
      <c r="I17" s="214"/>
      <c r="J17" s="214"/>
      <c r="K17" s="214"/>
      <c r="M17" s="9">
        <f>IF(F17,5,0)</f>
        <v>5</v>
      </c>
      <c r="N17" s="9" t="s">
        <v>56</v>
      </c>
    </row>
    <row r="18" spans="1:14" x14ac:dyDescent="0.25">
      <c r="A18">
        <v>3</v>
      </c>
      <c r="B18">
        <v>3</v>
      </c>
      <c r="C18" s="9" t="s">
        <v>55</v>
      </c>
      <c r="D18" s="21">
        <v>6</v>
      </c>
      <c r="E18" s="21">
        <f t="shared" si="0"/>
        <v>1</v>
      </c>
      <c r="F18" s="30" t="b">
        <f>'Калькулятор ОСББ'!G25</f>
        <v>1</v>
      </c>
      <c r="G18" s="13">
        <f>Розрахунки!$G$3*(D18/100)*E18</f>
        <v>80.793179999999992</v>
      </c>
      <c r="H18" s="214"/>
      <c r="I18" s="214"/>
      <c r="J18" s="214"/>
      <c r="K18" s="214"/>
      <c r="M18" s="9">
        <f>IF(F18,3,0)</f>
        <v>3</v>
      </c>
      <c r="N18" s="9" t="s">
        <v>55</v>
      </c>
    </row>
    <row r="19" spans="1:14" x14ac:dyDescent="0.25">
      <c r="A19">
        <v>4</v>
      </c>
      <c r="B19">
        <v>4</v>
      </c>
      <c r="C19" s="10" t="s">
        <v>54</v>
      </c>
      <c r="D19" s="21">
        <v>18</v>
      </c>
      <c r="E19" s="21">
        <f t="shared" si="0"/>
        <v>0</v>
      </c>
      <c r="F19" s="30" t="b">
        <f>'Калькулятор ОСББ'!G26</f>
        <v>0</v>
      </c>
      <c r="G19" s="13"/>
      <c r="H19" s="214"/>
      <c r="I19" s="214"/>
      <c r="J19" s="214"/>
      <c r="K19" s="214"/>
      <c r="M19" s="9">
        <f>IF(F19,1,0)</f>
        <v>0</v>
      </c>
      <c r="N19" s="10" t="s">
        <v>54</v>
      </c>
    </row>
    <row r="20" spans="1:14" x14ac:dyDescent="0.25">
      <c r="A20">
        <v>5</v>
      </c>
      <c r="B20">
        <v>5</v>
      </c>
      <c r="C20" s="10" t="s">
        <v>53</v>
      </c>
      <c r="D20" s="31">
        <v>3</v>
      </c>
      <c r="E20" s="21">
        <f t="shared" si="0"/>
        <v>1</v>
      </c>
      <c r="F20" s="30" t="b">
        <f>'Калькулятор ОСББ'!G27</f>
        <v>1</v>
      </c>
      <c r="G20" s="13">
        <f>Розрахунки!$G$3*(D20/100)*E20</f>
        <v>40.396589999999996</v>
      </c>
      <c r="H20" s="214"/>
      <c r="I20" s="214"/>
      <c r="J20" s="214"/>
      <c r="K20" s="214"/>
      <c r="M20" s="9">
        <f>IF(F20,2,0)</f>
        <v>2</v>
      </c>
      <c r="N20" s="10" t="s">
        <v>53</v>
      </c>
    </row>
    <row r="21" spans="1:14" x14ac:dyDescent="0.25">
      <c r="A21">
        <v>6</v>
      </c>
      <c r="B21">
        <v>6</v>
      </c>
      <c r="C21" s="10" t="s">
        <v>52</v>
      </c>
      <c r="D21" s="31">
        <v>22</v>
      </c>
      <c r="E21" s="21">
        <f t="shared" si="0"/>
        <v>0</v>
      </c>
      <c r="F21" s="30" t="b">
        <f>'Калькулятор ОСББ'!G28</f>
        <v>0</v>
      </c>
      <c r="G21" s="13">
        <f>Розрахунки!$G$3*(D21/100)*E21</f>
        <v>0</v>
      </c>
      <c r="H21" s="214"/>
      <c r="I21" s="214"/>
      <c r="J21" s="214"/>
      <c r="K21" s="214"/>
      <c r="M21" s="9">
        <f>IF(F21,5,0)</f>
        <v>0</v>
      </c>
      <c r="N21" s="10" t="s">
        <v>52</v>
      </c>
    </row>
    <row r="22" spans="1:14" x14ac:dyDescent="0.25">
      <c r="A22">
        <v>7</v>
      </c>
      <c r="B22">
        <v>7</v>
      </c>
      <c r="C22" s="10" t="s">
        <v>51</v>
      </c>
      <c r="D22" s="31">
        <v>4</v>
      </c>
      <c r="E22" s="21">
        <f t="shared" si="0"/>
        <v>1</v>
      </c>
      <c r="F22" s="30" t="b">
        <f>'Калькулятор ОСББ'!G29</f>
        <v>1</v>
      </c>
      <c r="G22" s="13">
        <f>Розрахунки!$G$3*(D22/100)*E22</f>
        <v>53.862119999999997</v>
      </c>
      <c r="H22" s="214"/>
      <c r="I22" s="214"/>
      <c r="J22" s="214"/>
      <c r="K22" s="214"/>
      <c r="M22" s="9">
        <f>IF(F22,3,0)</f>
        <v>3</v>
      </c>
      <c r="N22" s="10" t="s">
        <v>51</v>
      </c>
    </row>
    <row r="23" spans="1:14" x14ac:dyDescent="0.25">
      <c r="A23">
        <v>8</v>
      </c>
      <c r="B23">
        <v>8</v>
      </c>
      <c r="C23" s="10" t="s">
        <v>50</v>
      </c>
      <c r="D23" s="31">
        <v>7</v>
      </c>
      <c r="E23" s="21">
        <f t="shared" si="0"/>
        <v>1</v>
      </c>
      <c r="F23" s="30" t="b">
        <f>'Калькулятор ОСББ'!G30</f>
        <v>1</v>
      </c>
      <c r="G23" s="13">
        <f>Розрахунки!$G$3*(D23/100)*E23</f>
        <v>94.258710000000008</v>
      </c>
      <c r="H23" s="214"/>
      <c r="I23" s="214"/>
      <c r="J23" s="214"/>
      <c r="K23" s="214"/>
      <c r="M23" s="9">
        <f>IF(F23,3,0)</f>
        <v>3</v>
      </c>
      <c r="N23" s="10" t="s">
        <v>50</v>
      </c>
    </row>
    <row r="24" spans="1:14" x14ac:dyDescent="0.25">
      <c r="A24">
        <v>9</v>
      </c>
      <c r="B24">
        <v>9</v>
      </c>
      <c r="C24" s="10" t="s">
        <v>49</v>
      </c>
      <c r="D24" s="31">
        <v>60</v>
      </c>
      <c r="E24" s="21">
        <f t="shared" si="0"/>
        <v>1</v>
      </c>
      <c r="F24" s="30" t="b">
        <f>'Калькулятор ОСББ'!G31</f>
        <v>1</v>
      </c>
      <c r="G24" s="13">
        <f>D31-D36</f>
        <v>28268.811999999991</v>
      </c>
      <c r="H24" s="13">
        <f>G17+G18+G20+G21+G22+G23+G25</f>
        <v>430.89695999999998</v>
      </c>
      <c r="I24" s="13">
        <f>G24</f>
        <v>28268.811999999991</v>
      </c>
      <c r="J24" s="9"/>
      <c r="K24" s="9"/>
      <c r="M24" s="9">
        <f>IF(F24,1,0)</f>
        <v>1</v>
      </c>
      <c r="N24" s="10" t="s">
        <v>49</v>
      </c>
    </row>
    <row r="25" spans="1:14" x14ac:dyDescent="0.25">
      <c r="A25">
        <v>10</v>
      </c>
      <c r="B25">
        <v>10</v>
      </c>
      <c r="C25" s="29" t="s">
        <v>57</v>
      </c>
      <c r="D25" s="31">
        <v>1</v>
      </c>
      <c r="E25" s="21">
        <f t="shared" si="0"/>
        <v>1</v>
      </c>
      <c r="F25" s="30" t="b">
        <f>'Калькулятор ОСББ'!G23</f>
        <v>1</v>
      </c>
      <c r="G25" s="25">
        <f>Розрахунки!$G$3*(D25/100)*E25</f>
        <v>13.465529999999999</v>
      </c>
      <c r="H25" s="9">
        <f>(ОСББ!H24/Розрахунки!G3)</f>
        <v>0.32</v>
      </c>
      <c r="M25" s="9">
        <f>IF(F25,0,0)</f>
        <v>0</v>
      </c>
      <c r="N25" s="29" t="s">
        <v>57</v>
      </c>
    </row>
    <row r="26" spans="1:14" x14ac:dyDescent="0.25">
      <c r="C26" s="29"/>
      <c r="D26" s="28"/>
      <c r="E26" s="27"/>
      <c r="F26" s="9"/>
      <c r="G26" s="25"/>
      <c r="H26" s="45">
        <f>(SUMPRODUCT(D17:D18,E17:E18)+SUMPRODUCT(D20:D23,E20:E23)+(D25*E25))/100</f>
        <v>0.32</v>
      </c>
      <c r="L26" s="16" t="s">
        <v>128</v>
      </c>
      <c r="M26">
        <f>SUM(M17:M25)</f>
        <v>17</v>
      </c>
    </row>
    <row r="27" spans="1:14" x14ac:dyDescent="0.25">
      <c r="A27">
        <v>11</v>
      </c>
      <c r="C27" s="26" t="s">
        <v>127</v>
      </c>
      <c r="F27" s="16" t="s">
        <v>126</v>
      </c>
      <c r="G27" s="22" t="s">
        <v>125</v>
      </c>
      <c r="H27" s="22" t="s">
        <v>124</v>
      </c>
      <c r="J27" s="16" t="s">
        <v>123</v>
      </c>
    </row>
    <row r="28" spans="1:14" x14ac:dyDescent="0.25">
      <c r="A28">
        <v>12</v>
      </c>
      <c r="C28" s="9" t="s">
        <v>122</v>
      </c>
      <c r="D28" s="9">
        <f>'Калькулятор ОСББ'!B14*0.15</f>
        <v>1320.1499999999999</v>
      </c>
      <c r="F28" s="9" t="s">
        <v>56</v>
      </c>
      <c r="G28" s="22">
        <f>300000*E17</f>
        <v>300000</v>
      </c>
      <c r="H28" s="22">
        <f>100000*E17</f>
        <v>100000</v>
      </c>
      <c r="I28" s="9" t="s">
        <v>121</v>
      </c>
      <c r="J28" s="13">
        <f>Розрахунки!J5</f>
        <v>183060.80000000002</v>
      </c>
    </row>
    <row r="29" spans="1:14" x14ac:dyDescent="0.25">
      <c r="A29">
        <v>13</v>
      </c>
      <c r="C29" s="10" t="s">
        <v>120</v>
      </c>
      <c r="D29" s="9">
        <f>D28*20/1000</f>
        <v>26.402999999999995</v>
      </c>
      <c r="F29" s="9" t="s">
        <v>55</v>
      </c>
      <c r="G29" s="22">
        <f>100000*E18</f>
        <v>100000</v>
      </c>
      <c r="H29" s="22">
        <f>G29*0.2*E18</f>
        <v>20000</v>
      </c>
      <c r="I29" s="9" t="s">
        <v>119</v>
      </c>
      <c r="J29" s="13">
        <f>I24*D32*E24</f>
        <v>12890.578271999997</v>
      </c>
      <c r="K29" t="s">
        <v>96</v>
      </c>
    </row>
    <row r="30" spans="1:14" x14ac:dyDescent="0.25">
      <c r="A30">
        <v>14</v>
      </c>
      <c r="C30" s="10" t="s">
        <v>118</v>
      </c>
      <c r="D30" s="9">
        <f>365*4</f>
        <v>1460</v>
      </c>
      <c r="F30" s="10" t="s">
        <v>54</v>
      </c>
      <c r="G30" s="22">
        <f>D47*E19</f>
        <v>0</v>
      </c>
      <c r="H30" s="22">
        <f>G30*0.3*E19</f>
        <v>0</v>
      </c>
      <c r="I30" s="9" t="s">
        <v>97</v>
      </c>
      <c r="J30" s="24">
        <f>D46*E19</f>
        <v>0</v>
      </c>
      <c r="K30" s="25">
        <f>SUM(J28:J30)</f>
        <v>195951.378272</v>
      </c>
    </row>
    <row r="31" spans="1:14" x14ac:dyDescent="0.25">
      <c r="A31">
        <v>15</v>
      </c>
      <c r="C31" s="10" t="s">
        <v>117</v>
      </c>
      <c r="D31" s="9">
        <f>D30*D29</f>
        <v>38548.37999999999</v>
      </c>
      <c r="F31" s="10" t="s">
        <v>53</v>
      </c>
      <c r="G31" s="22">
        <f>(VLOOKUP(H1,A2:G10,7,0))*D55*0.4*'Калькулятор ОСББ'!B15*0.03*2000*E20</f>
        <v>259200</v>
      </c>
      <c r="H31" s="22">
        <f>(VLOOKUP(H1,A2:G10,7,0))*D55*0.4*'Калькулятор ОСББ'!B15*0.03*200*E20</f>
        <v>25920</v>
      </c>
    </row>
    <row r="32" spans="1:14" x14ac:dyDescent="0.25">
      <c r="A32">
        <v>16</v>
      </c>
      <c r="C32" s="10" t="s">
        <v>116</v>
      </c>
      <c r="D32" s="24">
        <f>IF((D31/12)&gt;3600,1.479,0.456)</f>
        <v>0.45600000000000002</v>
      </c>
      <c r="F32" s="10" t="s">
        <v>52</v>
      </c>
      <c r="G32" s="22">
        <f>D57*E21</f>
        <v>0</v>
      </c>
      <c r="H32" s="22">
        <f>G32*0.2*E21</f>
        <v>0</v>
      </c>
    </row>
    <row r="33" spans="1:9" x14ac:dyDescent="0.25">
      <c r="A33">
        <v>17</v>
      </c>
      <c r="C33" s="10" t="s">
        <v>111</v>
      </c>
      <c r="D33" s="23">
        <f>D32*D31</f>
        <v>17578.061279999994</v>
      </c>
      <c r="F33" s="10" t="s">
        <v>51</v>
      </c>
      <c r="G33" s="22">
        <f>D61*E22</f>
        <v>440050</v>
      </c>
      <c r="H33" s="22">
        <f>G33*0.2*E22</f>
        <v>88010</v>
      </c>
    </row>
    <row r="34" spans="1:9" x14ac:dyDescent="0.25">
      <c r="A34">
        <v>18</v>
      </c>
      <c r="C34" s="10" t="s">
        <v>115</v>
      </c>
      <c r="D34" s="9">
        <f>D29/0.075</f>
        <v>352.03999999999996</v>
      </c>
      <c r="F34" s="10" t="s">
        <v>50</v>
      </c>
      <c r="G34" s="22">
        <f>D65*E23</f>
        <v>440050</v>
      </c>
      <c r="H34" s="22">
        <f>G34*0.2*E23</f>
        <v>88010</v>
      </c>
    </row>
    <row r="35" spans="1:9" x14ac:dyDescent="0.25">
      <c r="A35">
        <v>19</v>
      </c>
      <c r="C35" s="10" t="s">
        <v>114</v>
      </c>
      <c r="D35" s="9">
        <f>200*D34</f>
        <v>70408</v>
      </c>
      <c r="F35" s="10" t="s">
        <v>49</v>
      </c>
      <c r="G35" s="22">
        <f>D35*E24</f>
        <v>70408</v>
      </c>
      <c r="H35" s="22">
        <f>G35*0.2*E24</f>
        <v>14081.6</v>
      </c>
    </row>
    <row r="36" spans="1:9" x14ac:dyDescent="0.25">
      <c r="A36">
        <v>20</v>
      </c>
      <c r="C36" s="10" t="s">
        <v>113</v>
      </c>
      <c r="D36" s="9">
        <f>D34*0.02*4*365</f>
        <v>10279.567999999999</v>
      </c>
      <c r="F36" s="10" t="s">
        <v>57</v>
      </c>
      <c r="G36" s="21">
        <v>0</v>
      </c>
      <c r="H36" s="21">
        <f>IF(E25=1,15000,0)</f>
        <v>15000</v>
      </c>
    </row>
    <row r="37" spans="1:9" x14ac:dyDescent="0.25">
      <c r="A37">
        <v>21</v>
      </c>
      <c r="C37" s="10" t="s">
        <v>112</v>
      </c>
      <c r="D37" s="9">
        <f>IF((D36/12)&gt;3600,1.479,0.456)</f>
        <v>0.45600000000000002</v>
      </c>
      <c r="G37" s="9">
        <f>SUM(G28:G36)</f>
        <v>1609708</v>
      </c>
      <c r="H37" s="20">
        <f>SUM(H28:H36)</f>
        <v>351021.6</v>
      </c>
    </row>
    <row r="38" spans="1:9" x14ac:dyDescent="0.25">
      <c r="A38">
        <v>22</v>
      </c>
      <c r="C38" s="10" t="s">
        <v>111</v>
      </c>
      <c r="D38" s="9">
        <f>D37*D36</f>
        <v>4687.4830080000002</v>
      </c>
    </row>
    <row r="39" spans="1:9" x14ac:dyDescent="0.25">
      <c r="A39">
        <v>23</v>
      </c>
      <c r="C39" s="19" t="s">
        <v>110</v>
      </c>
      <c r="D39" s="9">
        <f>D33-D38</f>
        <v>12890.578271999995</v>
      </c>
      <c r="G39" s="16" t="s">
        <v>109</v>
      </c>
      <c r="H39" s="9">
        <f>(G37+H37)*0.05</f>
        <v>98036.48000000001</v>
      </c>
    </row>
    <row r="40" spans="1:9" x14ac:dyDescent="0.25">
      <c r="A40">
        <v>24</v>
      </c>
      <c r="C40" s="10" t="s">
        <v>101</v>
      </c>
      <c r="D40" s="13">
        <f>D35/D39</f>
        <v>5.4619737388302658</v>
      </c>
    </row>
    <row r="41" spans="1:9" x14ac:dyDescent="0.25">
      <c r="A41">
        <v>25</v>
      </c>
    </row>
    <row r="42" spans="1:9" x14ac:dyDescent="0.25">
      <c r="A42">
        <v>26</v>
      </c>
      <c r="C42" s="18" t="s">
        <v>108</v>
      </c>
      <c r="F42" s="16" t="s">
        <v>107</v>
      </c>
    </row>
    <row r="43" spans="1:9" x14ac:dyDescent="0.25">
      <c r="A43">
        <v>27</v>
      </c>
      <c r="C43" s="9" t="s">
        <v>106</v>
      </c>
      <c r="D43" s="9">
        <f>'Калькулятор ОСББ'!B14</f>
        <v>8801</v>
      </c>
      <c r="F43" s="9" t="s">
        <v>99</v>
      </c>
      <c r="G43" s="13">
        <f>Розрахунки!J3/'Калькулятор ОСББ'!B17</f>
        <v>3425.5389221556884</v>
      </c>
    </row>
    <row r="44" spans="1:9" x14ac:dyDescent="0.25">
      <c r="A44">
        <v>28</v>
      </c>
      <c r="C44" s="17" t="s">
        <v>105</v>
      </c>
      <c r="D44" s="9">
        <v>40</v>
      </c>
      <c r="F44" s="9" t="s">
        <v>97</v>
      </c>
      <c r="G44" s="13">
        <f>D45/'Калькулятор ОСББ'!B17</f>
        <v>769.42874251497005</v>
      </c>
      <c r="H44" s="9" t="s">
        <v>96</v>
      </c>
      <c r="I44" s="9" t="s">
        <v>95</v>
      </c>
    </row>
    <row r="45" spans="1:9" x14ac:dyDescent="0.25">
      <c r="A45">
        <v>29</v>
      </c>
      <c r="C45" s="10" t="s">
        <v>104</v>
      </c>
      <c r="D45" s="9">
        <f>(D44*D43/1000)*365</f>
        <v>128494.6</v>
      </c>
      <c r="F45" s="9" t="s">
        <v>93</v>
      </c>
      <c r="G45" s="13">
        <f>D33/'Калькулятор ОСББ'!B17</f>
        <v>105.25785197604787</v>
      </c>
      <c r="H45" s="13">
        <f>SUM(G43:G45)</f>
        <v>4300.2255166467066</v>
      </c>
      <c r="I45" s="13">
        <f>H45/12</f>
        <v>358.35212638722555</v>
      </c>
    </row>
    <row r="46" spans="1:9" x14ac:dyDescent="0.25">
      <c r="A46">
        <v>30</v>
      </c>
      <c r="C46" s="10" t="s">
        <v>103</v>
      </c>
      <c r="D46" s="9">
        <f>0.2*D45</f>
        <v>25698.920000000002</v>
      </c>
    </row>
    <row r="47" spans="1:9" x14ac:dyDescent="0.25">
      <c r="A47">
        <v>31</v>
      </c>
      <c r="C47" s="10" t="s">
        <v>102</v>
      </c>
      <c r="D47" s="9">
        <f>1120*'Калькулятор ОСББ'!B17</f>
        <v>187040</v>
      </c>
    </row>
    <row r="48" spans="1:9" x14ac:dyDescent="0.25">
      <c r="A48">
        <v>32</v>
      </c>
      <c r="C48" s="10" t="s">
        <v>101</v>
      </c>
      <c r="D48" s="13">
        <f>D47/D46</f>
        <v>7.2781268629187528</v>
      </c>
      <c r="F48" s="16" t="s">
        <v>100</v>
      </c>
    </row>
    <row r="49" spans="1:9" x14ac:dyDescent="0.25">
      <c r="A49">
        <v>33</v>
      </c>
      <c r="F49" s="9" t="s">
        <v>99</v>
      </c>
      <c r="G49" s="13">
        <f>(Розрахунки!J3-ОСББ!J28)/'Калькулятор ОСББ'!B17</f>
        <v>2329.3664670658682</v>
      </c>
    </row>
    <row r="50" spans="1:9" x14ac:dyDescent="0.25">
      <c r="A50">
        <v>34</v>
      </c>
      <c r="C50" s="11" t="s">
        <v>98</v>
      </c>
      <c r="F50" s="9" t="s">
        <v>97</v>
      </c>
      <c r="G50" s="13">
        <f>(D45-D46)/'Калькулятор ОСББ'!B17</f>
        <v>615.54299401197613</v>
      </c>
      <c r="H50" s="9" t="s">
        <v>96</v>
      </c>
      <c r="I50" s="9" t="s">
        <v>95</v>
      </c>
    </row>
    <row r="51" spans="1:9" x14ac:dyDescent="0.25">
      <c r="A51">
        <v>35</v>
      </c>
      <c r="C51" s="9" t="s">
        <v>94</v>
      </c>
      <c r="D51" s="13">
        <f>G20</f>
        <v>40.396589999999996</v>
      </c>
      <c r="F51" s="9" t="s">
        <v>93</v>
      </c>
      <c r="G51" s="13">
        <f>D38/'Калькулятор ОСББ'!B17</f>
        <v>28.068760526946107</v>
      </c>
      <c r="H51" s="13">
        <f>SUM(G49:G51)</f>
        <v>2972.9782216047906</v>
      </c>
      <c r="I51" s="13">
        <f>H51/12</f>
        <v>247.74818513373256</v>
      </c>
    </row>
    <row r="52" spans="1:9" x14ac:dyDescent="0.25">
      <c r="A52">
        <v>36</v>
      </c>
      <c r="C52" s="10" t="s">
        <v>92</v>
      </c>
      <c r="D52" s="9">
        <f>G31+H31</f>
        <v>285120</v>
      </c>
    </row>
    <row r="53" spans="1:9" x14ac:dyDescent="0.25">
      <c r="F53" s="9" t="s">
        <v>91</v>
      </c>
      <c r="G53" s="12">
        <f>ОСББ!G63</f>
        <v>1414882.88</v>
      </c>
      <c r="H53" s="9" t="s">
        <v>89</v>
      </c>
    </row>
    <row r="54" spans="1:9" x14ac:dyDescent="0.25">
      <c r="C54" s="11" t="s">
        <v>90</v>
      </c>
      <c r="F54" s="15">
        <v>0.01</v>
      </c>
      <c r="G54" s="14">
        <f>G53*0.01</f>
        <v>14148.828799999999</v>
      </c>
      <c r="H54" s="9" t="s">
        <v>89</v>
      </c>
    </row>
    <row r="55" spans="1:9" x14ac:dyDescent="0.25">
      <c r="C55" s="9" t="s">
        <v>88</v>
      </c>
      <c r="D55" s="13">
        <f>'Калькулятор ОСББ'!B16</f>
        <v>400</v>
      </c>
      <c r="F55" s="10" t="s">
        <v>87</v>
      </c>
      <c r="G55" s="12">
        <f>G53+G54</f>
        <v>1429031.7087999999</v>
      </c>
    </row>
    <row r="56" spans="1:9" x14ac:dyDescent="0.25">
      <c r="C56" s="10" t="s">
        <v>86</v>
      </c>
      <c r="D56" s="9">
        <f>(VLOOKUP(H1,A2:G10,7,0))*D55*0.6*'Калькулятор ОСББ'!B15</f>
        <v>6480</v>
      </c>
    </row>
    <row r="57" spans="1:9" x14ac:dyDescent="0.25">
      <c r="C57" s="10" t="s">
        <v>85</v>
      </c>
      <c r="D57" s="9">
        <f>600*D56</f>
        <v>3888000</v>
      </c>
    </row>
    <row r="59" spans="1:9" ht="16.5" x14ac:dyDescent="0.25">
      <c r="C59" s="11" t="s">
        <v>84</v>
      </c>
      <c r="F59" s="3" t="s">
        <v>2</v>
      </c>
      <c r="G59" s="2">
        <f>VLOOKUP(Регіони!H2,Регіони!A2:G27,7,0)</f>
        <v>602</v>
      </c>
      <c r="H59" s="1" t="s">
        <v>0</v>
      </c>
    </row>
    <row r="60" spans="1:9" ht="16.5" x14ac:dyDescent="0.25">
      <c r="C60" s="9" t="s">
        <v>82</v>
      </c>
      <c r="D60" s="9">
        <f>'Калькулятор ОСББ'!B14/'Калькулятор ОСББ'!B15</f>
        <v>977.88888888888891</v>
      </c>
      <c r="F60" s="3" t="s">
        <v>1</v>
      </c>
      <c r="G60" s="2">
        <f>G59*((ОСББ!M26/100)+1)</f>
        <v>704.33999999999992</v>
      </c>
      <c r="H60" s="1" t="s">
        <v>0</v>
      </c>
    </row>
    <row r="61" spans="1:9" x14ac:dyDescent="0.25">
      <c r="C61" s="10" t="s">
        <v>81</v>
      </c>
      <c r="D61" s="9">
        <f>D60*450</f>
        <v>440050</v>
      </c>
    </row>
    <row r="63" spans="1:9" ht="16.5" x14ac:dyDescent="0.25">
      <c r="C63" s="11" t="s">
        <v>83</v>
      </c>
      <c r="F63" s="3" t="s">
        <v>10</v>
      </c>
      <c r="G63" s="8">
        <f>'Калькулятор ОСББ'!B35-'Калькулятор ОСББ'!B42</f>
        <v>1414882.88</v>
      </c>
      <c r="H63" s="1" t="s">
        <v>6</v>
      </c>
    </row>
    <row r="64" spans="1:9" ht="16.5" x14ac:dyDescent="0.25">
      <c r="C64" s="9" t="s">
        <v>82</v>
      </c>
      <c r="D64" s="9">
        <f>'Калькулятор ОСББ'!B14/'Калькулятор ОСББ'!B15</f>
        <v>977.88888888888891</v>
      </c>
      <c r="F64" s="7" t="s">
        <v>9</v>
      </c>
      <c r="G64" s="8">
        <f>ОСББ!K30</f>
        <v>195951.378272</v>
      </c>
      <c r="H64" s="1" t="s">
        <v>8</v>
      </c>
    </row>
    <row r="65" spans="1:8" ht="16.5" x14ac:dyDescent="0.25">
      <c r="C65" s="10" t="s">
        <v>81</v>
      </c>
      <c r="D65" s="9">
        <f>D64*450</f>
        <v>440050</v>
      </c>
      <c r="F65" s="4"/>
      <c r="G65" s="4"/>
      <c r="H65" s="4"/>
    </row>
    <row r="66" spans="1:8" ht="16.5" x14ac:dyDescent="0.25">
      <c r="F66" s="4"/>
      <c r="G66" s="4"/>
      <c r="H66" s="4"/>
    </row>
    <row r="67" spans="1:8" ht="16.5" x14ac:dyDescent="0.25">
      <c r="F67" s="7" t="s">
        <v>7</v>
      </c>
      <c r="G67" s="8">
        <f>G63/'Калькулятор ОСББ'!B17</f>
        <v>8472.352574850298</v>
      </c>
      <c r="H67" s="1" t="s">
        <v>6</v>
      </c>
    </row>
    <row r="68" spans="1:8" ht="16.5" x14ac:dyDescent="0.25">
      <c r="A68">
        <v>1</v>
      </c>
      <c r="F68" s="4"/>
      <c r="G68" s="4"/>
      <c r="H68" s="5"/>
    </row>
    <row r="69" spans="1:8" ht="16.5" x14ac:dyDescent="0.25">
      <c r="A69">
        <v>2</v>
      </c>
      <c r="F69" s="3" t="s">
        <v>5</v>
      </c>
      <c r="G69" s="6">
        <f>ОСББ!I45</f>
        <v>358.35212638722555</v>
      </c>
      <c r="H69" s="1" t="s">
        <v>3</v>
      </c>
    </row>
    <row r="70" spans="1:8" ht="16.5" x14ac:dyDescent="0.25">
      <c r="A70">
        <v>3</v>
      </c>
      <c r="F70" s="3" t="s">
        <v>4</v>
      </c>
      <c r="G70" s="6">
        <f>ОСББ!I51</f>
        <v>247.74818513373256</v>
      </c>
      <c r="H70" s="1" t="s">
        <v>3</v>
      </c>
    </row>
    <row r="71" spans="1:8" x14ac:dyDescent="0.25">
      <c r="A71">
        <v>4</v>
      </c>
    </row>
    <row r="72" spans="1:8" x14ac:dyDescent="0.25">
      <c r="A72">
        <v>5</v>
      </c>
    </row>
    <row r="73" spans="1:8" x14ac:dyDescent="0.25">
      <c r="A73">
        <v>6</v>
      </c>
    </row>
    <row r="74" spans="1:8" x14ac:dyDescent="0.25">
      <c r="A74">
        <v>7</v>
      </c>
    </row>
    <row r="75" spans="1:8" x14ac:dyDescent="0.25">
      <c r="A75">
        <v>8</v>
      </c>
    </row>
    <row r="76" spans="1:8" x14ac:dyDescent="0.25">
      <c r="A76">
        <v>9</v>
      </c>
    </row>
    <row r="77" spans="1:8" x14ac:dyDescent="0.25">
      <c r="A77">
        <v>10</v>
      </c>
    </row>
    <row r="78" spans="1:8" x14ac:dyDescent="0.25">
      <c r="A78">
        <v>11</v>
      </c>
    </row>
    <row r="79" spans="1:8" x14ac:dyDescent="0.25">
      <c r="A79">
        <v>12</v>
      </c>
    </row>
    <row r="80" spans="1:8" x14ac:dyDescent="0.25">
      <c r="A80">
        <v>13</v>
      </c>
    </row>
    <row r="81" spans="1:1" x14ac:dyDescent="0.25">
      <c r="A81">
        <v>14</v>
      </c>
    </row>
    <row r="82" spans="1:1" x14ac:dyDescent="0.25">
      <c r="A82">
        <v>15</v>
      </c>
    </row>
    <row r="83" spans="1:1" x14ac:dyDescent="0.25">
      <c r="A83">
        <v>16</v>
      </c>
    </row>
    <row r="84" spans="1:1" x14ac:dyDescent="0.25">
      <c r="A84">
        <v>17</v>
      </c>
    </row>
    <row r="85" spans="1:1" x14ac:dyDescent="0.25">
      <c r="A85">
        <v>18</v>
      </c>
    </row>
    <row r="86" spans="1:1" x14ac:dyDescent="0.25">
      <c r="A86">
        <v>19</v>
      </c>
    </row>
    <row r="87" spans="1:1" x14ac:dyDescent="0.25">
      <c r="A87">
        <v>20</v>
      </c>
    </row>
    <row r="88" spans="1:1" x14ac:dyDescent="0.25">
      <c r="A88">
        <v>21</v>
      </c>
    </row>
    <row r="89" spans="1:1" x14ac:dyDescent="0.25">
      <c r="A89">
        <v>22</v>
      </c>
    </row>
    <row r="90" spans="1:1" x14ac:dyDescent="0.25">
      <c r="A90">
        <v>23</v>
      </c>
    </row>
    <row r="91" spans="1:1" x14ac:dyDescent="0.25">
      <c r="A91">
        <v>24</v>
      </c>
    </row>
    <row r="92" spans="1:1" x14ac:dyDescent="0.25">
      <c r="A92">
        <v>25</v>
      </c>
    </row>
    <row r="93" spans="1:1" x14ac:dyDescent="0.25">
      <c r="A93">
        <v>26</v>
      </c>
    </row>
    <row r="94" spans="1:1" x14ac:dyDescent="0.25">
      <c r="A94">
        <v>27</v>
      </c>
    </row>
    <row r="95" spans="1:1" x14ac:dyDescent="0.25">
      <c r="A95">
        <v>28</v>
      </c>
    </row>
    <row r="96" spans="1:1" x14ac:dyDescent="0.25">
      <c r="A96">
        <v>29</v>
      </c>
    </row>
    <row r="97" spans="1:1" x14ac:dyDescent="0.25">
      <c r="A97">
        <v>30</v>
      </c>
    </row>
    <row r="98" spans="1:1" x14ac:dyDescent="0.25">
      <c r="A98">
        <v>31</v>
      </c>
    </row>
    <row r="99" spans="1:1" x14ac:dyDescent="0.25">
      <c r="A99">
        <v>32</v>
      </c>
    </row>
    <row r="100" spans="1:1" x14ac:dyDescent="0.25">
      <c r="A100">
        <v>33</v>
      </c>
    </row>
    <row r="101" spans="1:1" x14ac:dyDescent="0.25">
      <c r="A101">
        <v>34</v>
      </c>
    </row>
    <row r="102" spans="1:1" x14ac:dyDescent="0.25">
      <c r="A102">
        <v>35</v>
      </c>
    </row>
    <row r="103" spans="1:1" x14ac:dyDescent="0.25">
      <c r="A103">
        <v>36</v>
      </c>
    </row>
    <row r="104" spans="1:1" x14ac:dyDescent="0.25">
      <c r="A104">
        <v>37</v>
      </c>
    </row>
    <row r="105" spans="1:1" x14ac:dyDescent="0.25">
      <c r="A105">
        <v>38</v>
      </c>
    </row>
    <row r="106" spans="1:1" x14ac:dyDescent="0.25">
      <c r="A106">
        <v>39</v>
      </c>
    </row>
    <row r="107" spans="1:1" x14ac:dyDescent="0.25">
      <c r="A107">
        <v>40</v>
      </c>
    </row>
    <row r="108" spans="1:1" x14ac:dyDescent="0.25">
      <c r="A108">
        <v>41</v>
      </c>
    </row>
    <row r="109" spans="1:1" x14ac:dyDescent="0.25">
      <c r="A109">
        <v>42</v>
      </c>
    </row>
    <row r="110" spans="1:1" x14ac:dyDescent="0.25">
      <c r="A110">
        <v>43</v>
      </c>
    </row>
    <row r="111" spans="1:1" x14ac:dyDescent="0.25">
      <c r="A111">
        <v>44</v>
      </c>
    </row>
    <row r="112" spans="1:1" x14ac:dyDescent="0.25">
      <c r="A112">
        <v>45</v>
      </c>
    </row>
    <row r="113" spans="1:1" x14ac:dyDescent="0.25">
      <c r="A113">
        <v>46</v>
      </c>
    </row>
    <row r="114" spans="1:1" x14ac:dyDescent="0.25">
      <c r="A114">
        <v>47</v>
      </c>
    </row>
    <row r="115" spans="1:1" x14ac:dyDescent="0.25">
      <c r="A115">
        <v>48</v>
      </c>
    </row>
  </sheetData>
  <mergeCells count="5">
    <mergeCell ref="E15:F15"/>
    <mergeCell ref="H16:H23"/>
    <mergeCell ref="I16:I23"/>
    <mergeCell ref="J16:J23"/>
    <mergeCell ref="K16:K2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2"/>
  <sheetViews>
    <sheetView topLeftCell="A17" workbookViewId="0">
      <selection activeCell="B29" sqref="B29"/>
    </sheetView>
  </sheetViews>
  <sheetFormatPr defaultRowHeight="15" x14ac:dyDescent="0.25"/>
  <cols>
    <col min="1" max="1" width="66" customWidth="1"/>
    <col min="2" max="2" width="34.28515625" customWidth="1"/>
    <col min="3" max="3" width="23.140625" customWidth="1"/>
  </cols>
  <sheetData>
    <row r="1" spans="1:2" x14ac:dyDescent="0.25">
      <c r="A1" s="217" t="s">
        <v>361</v>
      </c>
      <c r="B1" s="218"/>
    </row>
    <row r="2" spans="1:2" ht="30" x14ac:dyDescent="0.25">
      <c r="A2" s="55" t="s">
        <v>597</v>
      </c>
      <c r="B2" s="111">
        <f>'Калькулятор ОСББ'!B14*VLOOKUP(Регіони!H2,Регіони!A1:F27,6,0)</f>
        <v>1346.5529999999999</v>
      </c>
    </row>
    <row r="3" spans="1:2" x14ac:dyDescent="0.25">
      <c r="A3" s="48" t="s">
        <v>598</v>
      </c>
      <c r="B3" s="112">
        <f>ОСББ!H26</f>
        <v>0.32</v>
      </c>
    </row>
    <row r="4" spans="1:2" x14ac:dyDescent="0.25">
      <c r="A4" s="48" t="s">
        <v>360</v>
      </c>
      <c r="B4" s="72">
        <f>B2*(1-B3)</f>
        <v>915.65603999999985</v>
      </c>
    </row>
    <row r="5" spans="1:2" x14ac:dyDescent="0.25">
      <c r="A5" s="215" t="s">
        <v>359</v>
      </c>
      <c r="B5" s="216"/>
    </row>
    <row r="6" spans="1:2" x14ac:dyDescent="0.25">
      <c r="A6" s="119" t="s">
        <v>600</v>
      </c>
      <c r="B6" s="120">
        <f>'Калькулятор ОСББ'!B18/30.29*'Вхідні дані'!B42</f>
        <v>58.765269065698256</v>
      </c>
    </row>
    <row r="7" spans="1:2" x14ac:dyDescent="0.25">
      <c r="A7" s="53" t="s">
        <v>358</v>
      </c>
      <c r="B7" s="111">
        <f>B6/(VLOOKUP(Регіони!H2,Регіони!A1:F27,6,0))</f>
        <v>384.08672591959646</v>
      </c>
    </row>
    <row r="8" spans="1:2" x14ac:dyDescent="0.25">
      <c r="A8" s="53" t="s">
        <v>357</v>
      </c>
      <c r="B8" s="72">
        <f>B7*1.5</f>
        <v>576.13008887939463</v>
      </c>
    </row>
    <row r="9" spans="1:2" x14ac:dyDescent="0.25">
      <c r="A9" s="53" t="s">
        <v>356</v>
      </c>
      <c r="B9" s="72">
        <f>B8*1.5</f>
        <v>864.19513331909195</v>
      </c>
    </row>
    <row r="10" spans="1:2" x14ac:dyDescent="0.25">
      <c r="A10" s="53" t="s">
        <v>607</v>
      </c>
      <c r="B10" s="211">
        <f>ОСББ!D32</f>
        <v>0.45600000000000002</v>
      </c>
    </row>
    <row r="11" spans="1:2" x14ac:dyDescent="0.25">
      <c r="A11" s="53" t="s">
        <v>608</v>
      </c>
      <c r="B11" s="211">
        <f>B10*1.5</f>
        <v>0.68400000000000005</v>
      </c>
    </row>
    <row r="12" spans="1:2" x14ac:dyDescent="0.25">
      <c r="A12" s="53" t="s">
        <v>609</v>
      </c>
      <c r="B12" s="211">
        <f>B11*1.5</f>
        <v>1.026</v>
      </c>
    </row>
    <row r="13" spans="1:2" x14ac:dyDescent="0.25">
      <c r="A13" s="54" t="s">
        <v>355</v>
      </c>
      <c r="B13" s="115">
        <v>0.25</v>
      </c>
    </row>
    <row r="14" spans="1:2" x14ac:dyDescent="0.25">
      <c r="A14" s="53" t="s">
        <v>354</v>
      </c>
      <c r="B14" s="78">
        <f>B15+B16</f>
        <v>2058766.08</v>
      </c>
    </row>
    <row r="15" spans="1:2" x14ac:dyDescent="0.25">
      <c r="A15" s="54" t="s">
        <v>599</v>
      </c>
      <c r="B15" s="116">
        <f>'Калькулятор ОСББ'!B37+'Калькулятор ОСББ'!B38</f>
        <v>449058.07999999996</v>
      </c>
    </row>
    <row r="16" spans="1:2" x14ac:dyDescent="0.25">
      <c r="A16" s="53" t="s">
        <v>303</v>
      </c>
      <c r="B16" s="116">
        <f>'Калькулятор ОСББ'!B36</f>
        <v>1609708</v>
      </c>
    </row>
    <row r="17" spans="1:3" x14ac:dyDescent="0.25">
      <c r="A17" s="54" t="s">
        <v>353</v>
      </c>
      <c r="B17" s="112">
        <f>B18/B14</f>
        <v>0</v>
      </c>
    </row>
    <row r="18" spans="1:3" x14ac:dyDescent="0.25">
      <c r="A18" s="54" t="s">
        <v>352</v>
      </c>
      <c r="B18" s="116">
        <f>'Калькулятор ОСББ'!B40</f>
        <v>0</v>
      </c>
    </row>
    <row r="19" spans="1:3" x14ac:dyDescent="0.25">
      <c r="A19" s="54" t="s">
        <v>351</v>
      </c>
      <c r="B19" s="76">
        <v>30000</v>
      </c>
    </row>
    <row r="20" spans="1:3" x14ac:dyDescent="0.25">
      <c r="A20" s="54" t="s">
        <v>350</v>
      </c>
      <c r="B20" s="76">
        <f>B19*B36</f>
        <v>5010000</v>
      </c>
    </row>
    <row r="21" spans="1:3" x14ac:dyDescent="0.25">
      <c r="A21" s="54" t="s">
        <v>603</v>
      </c>
      <c r="B21" s="116">
        <f>B14-B18</f>
        <v>2058766.08</v>
      </c>
    </row>
    <row r="22" spans="1:3" x14ac:dyDescent="0.25">
      <c r="A22" s="54" t="s">
        <v>301</v>
      </c>
      <c r="B22" s="112">
        <f>VLOOKUP('Умови кредитування'!G2,'Умови кредитування'!A1:E10,5,0)</f>
        <v>0.03</v>
      </c>
    </row>
    <row r="23" spans="1:3" x14ac:dyDescent="0.25">
      <c r="A23" s="54" t="s">
        <v>349</v>
      </c>
      <c r="B23" s="124">
        <f>'Калькулятор ОСББ'!B50</f>
        <v>42446.486399999994</v>
      </c>
    </row>
    <row r="24" spans="1:3" x14ac:dyDescent="0.25">
      <c r="A24" s="54" t="s">
        <v>302</v>
      </c>
      <c r="B24" s="122">
        <f>'Калькулятор ОСББ'!B49/12</f>
        <v>5</v>
      </c>
    </row>
    <row r="25" spans="1:3" x14ac:dyDescent="0.25">
      <c r="A25" s="54" t="s">
        <v>348</v>
      </c>
      <c r="B25" s="112">
        <f>VLOOKUP('Умови кредитування'!G2,'Умови кредитування'!A1:E10,3,0)</f>
        <v>0.25</v>
      </c>
    </row>
    <row r="26" spans="1:3" ht="29.25" customHeight="1" x14ac:dyDescent="0.25">
      <c r="A26" s="123" t="s">
        <v>347</v>
      </c>
      <c r="B26" s="114">
        <v>0.1</v>
      </c>
    </row>
    <row r="27" spans="1:3" ht="29.25" customHeight="1" x14ac:dyDescent="0.25">
      <c r="A27" s="54" t="s">
        <v>346</v>
      </c>
      <c r="B27" s="77">
        <v>0.4</v>
      </c>
    </row>
    <row r="28" spans="1:3" ht="30" x14ac:dyDescent="0.25">
      <c r="A28" s="54" t="s">
        <v>345</v>
      </c>
      <c r="B28" s="76">
        <f>'Калькулятор ОСББ'!B42</f>
        <v>643883.20000000007</v>
      </c>
      <c r="C28" s="47"/>
    </row>
    <row r="29" spans="1:3" ht="30" x14ac:dyDescent="0.25">
      <c r="A29" s="54" t="s">
        <v>300</v>
      </c>
      <c r="B29" s="76">
        <f>B21-B28</f>
        <v>1414882.88</v>
      </c>
    </row>
    <row r="30" spans="1:3" x14ac:dyDescent="0.25">
      <c r="A30" s="54" t="s">
        <v>299</v>
      </c>
      <c r="B30" s="76">
        <f>PMT(B25/12,B24*12,'Вхідні дані'!B29,0,0)</f>
        <v>-41528.684950734219</v>
      </c>
    </row>
    <row r="31" spans="1:3" ht="27.75" customHeight="1" x14ac:dyDescent="0.25">
      <c r="A31" s="54" t="s">
        <v>344</v>
      </c>
      <c r="B31" s="76">
        <f>PMT((B25-B26)/12,B24*12,'Вхідні дані'!B29,0,0)</f>
        <v>-33659.964795585896</v>
      </c>
    </row>
    <row r="32" spans="1:3" ht="15.75" customHeight="1" x14ac:dyDescent="0.25">
      <c r="A32" s="54" t="s">
        <v>343</v>
      </c>
      <c r="B32" s="76">
        <f>PMT(B25/12,B24*12,'Вхідні дані'!B21,0,0)</f>
        <v>-60427.508970621013</v>
      </c>
    </row>
    <row r="33" spans="1:5" x14ac:dyDescent="0.25">
      <c r="A33" s="54" t="s">
        <v>342</v>
      </c>
      <c r="B33" s="51">
        <v>3</v>
      </c>
    </row>
    <row r="34" spans="1:5" ht="15.75" thickBot="1" x14ac:dyDescent="0.3">
      <c r="A34" s="75" t="s">
        <v>341</v>
      </c>
      <c r="B34" s="74">
        <f>B30*2</f>
        <v>-83057.369901468439</v>
      </c>
    </row>
    <row r="35" spans="1:5" ht="15.75" thickBot="1" x14ac:dyDescent="0.3">
      <c r="A35" s="219" t="s">
        <v>340</v>
      </c>
      <c r="B35" s="219"/>
    </row>
    <row r="36" spans="1:5" x14ac:dyDescent="0.25">
      <c r="A36" s="73" t="s">
        <v>339</v>
      </c>
      <c r="B36" s="113">
        <f>'Калькулятор ОСББ'!B17</f>
        <v>167</v>
      </c>
    </row>
    <row r="37" spans="1:5" x14ac:dyDescent="0.25">
      <c r="A37" s="48" t="s">
        <v>304</v>
      </c>
      <c r="B37" s="111">
        <f>'Калькулятор ОСББ'!B14</f>
        <v>8801</v>
      </c>
    </row>
    <row r="38" spans="1:5" ht="28.5" customHeight="1" x14ac:dyDescent="0.25">
      <c r="A38" s="53" t="s">
        <v>338</v>
      </c>
      <c r="B38" s="72">
        <f>B40*1.163*1000</f>
        <v>177.93900000000002</v>
      </c>
      <c r="E38" s="45"/>
    </row>
    <row r="39" spans="1:5" ht="31.5" customHeight="1" x14ac:dyDescent="0.25">
      <c r="A39" s="53" t="s">
        <v>337</v>
      </c>
      <c r="B39" s="72">
        <f>B41*1.163*1000</f>
        <v>120.99851999999998</v>
      </c>
    </row>
    <row r="40" spans="1:5" ht="31.5" customHeight="1" x14ac:dyDescent="0.25">
      <c r="A40" s="53" t="s">
        <v>336</v>
      </c>
      <c r="B40" s="71">
        <f>B2/B37</f>
        <v>0.153</v>
      </c>
    </row>
    <row r="41" spans="1:5" ht="30" customHeight="1" x14ac:dyDescent="0.25">
      <c r="A41" s="53" t="s">
        <v>335</v>
      </c>
      <c r="B41" s="71">
        <f>B4/B37</f>
        <v>0.10403999999999998</v>
      </c>
    </row>
    <row r="42" spans="1:5" ht="15.75" thickBot="1" x14ac:dyDescent="0.3">
      <c r="A42" s="70" t="s">
        <v>330</v>
      </c>
      <c r="B42" s="118">
        <f>VLOOKUP(Регіони!H2,Регіони!A1:F27,5,0)</f>
        <v>178</v>
      </c>
    </row>
  </sheetData>
  <mergeCells count="3">
    <mergeCell ref="A5:B5"/>
    <mergeCell ref="A1:B1"/>
    <mergeCell ref="A35:B35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M45"/>
  <sheetViews>
    <sheetView workbookViewId="0">
      <pane xSplit="1" ySplit="1" topLeftCell="B10" activePane="bottomRight" state="frozen"/>
      <selection pane="topRight" activeCell="B1" sqref="B1"/>
      <selection pane="bottomLeft" activeCell="A2" sqref="A2"/>
      <selection pane="bottomRight" activeCell="F32" sqref="F32"/>
    </sheetView>
  </sheetViews>
  <sheetFormatPr defaultRowHeight="15" outlineLevelRow="1" x14ac:dyDescent="0.25"/>
  <cols>
    <col min="1" max="1" width="51.28515625" style="57" customWidth="1"/>
    <col min="2" max="2" width="12.42578125" bestFit="1" customWidth="1"/>
    <col min="3" max="3" width="10.28515625" bestFit="1" customWidth="1"/>
    <col min="4" max="241" width="10.140625" bestFit="1" customWidth="1"/>
  </cols>
  <sheetData>
    <row r="1" spans="1:247" x14ac:dyDescent="0.25">
      <c r="B1">
        <v>1</v>
      </c>
      <c r="C1">
        <f t="shared" ref="C1:BN1" si="0">B1+1</f>
        <v>2</v>
      </c>
      <c r="D1">
        <f t="shared" si="0"/>
        <v>3</v>
      </c>
      <c r="E1">
        <f t="shared" si="0"/>
        <v>4</v>
      </c>
      <c r="F1">
        <f t="shared" si="0"/>
        <v>5</v>
      </c>
      <c r="G1">
        <f t="shared" si="0"/>
        <v>6</v>
      </c>
      <c r="H1">
        <f t="shared" si="0"/>
        <v>7</v>
      </c>
      <c r="I1">
        <f t="shared" si="0"/>
        <v>8</v>
      </c>
      <c r="J1">
        <f t="shared" si="0"/>
        <v>9</v>
      </c>
      <c r="K1">
        <f t="shared" si="0"/>
        <v>10</v>
      </c>
      <c r="L1">
        <f t="shared" si="0"/>
        <v>11</v>
      </c>
      <c r="M1">
        <f t="shared" si="0"/>
        <v>12</v>
      </c>
      <c r="N1">
        <f t="shared" si="0"/>
        <v>13</v>
      </c>
      <c r="O1">
        <f t="shared" si="0"/>
        <v>14</v>
      </c>
      <c r="P1">
        <f t="shared" si="0"/>
        <v>15</v>
      </c>
      <c r="Q1">
        <f t="shared" si="0"/>
        <v>16</v>
      </c>
      <c r="R1">
        <f t="shared" si="0"/>
        <v>17</v>
      </c>
      <c r="S1">
        <f t="shared" si="0"/>
        <v>18</v>
      </c>
      <c r="T1">
        <f t="shared" si="0"/>
        <v>19</v>
      </c>
      <c r="U1">
        <f t="shared" si="0"/>
        <v>20</v>
      </c>
      <c r="V1">
        <f t="shared" si="0"/>
        <v>21</v>
      </c>
      <c r="W1">
        <f t="shared" si="0"/>
        <v>22</v>
      </c>
      <c r="X1">
        <f t="shared" si="0"/>
        <v>23</v>
      </c>
      <c r="Y1">
        <f t="shared" si="0"/>
        <v>24</v>
      </c>
      <c r="Z1">
        <f t="shared" si="0"/>
        <v>25</v>
      </c>
      <c r="AA1">
        <f t="shared" si="0"/>
        <v>26</v>
      </c>
      <c r="AB1">
        <f t="shared" si="0"/>
        <v>27</v>
      </c>
      <c r="AC1">
        <f t="shared" si="0"/>
        <v>28</v>
      </c>
      <c r="AD1">
        <f t="shared" si="0"/>
        <v>29</v>
      </c>
      <c r="AE1">
        <f t="shared" si="0"/>
        <v>30</v>
      </c>
      <c r="AF1">
        <f t="shared" si="0"/>
        <v>31</v>
      </c>
      <c r="AG1">
        <f t="shared" si="0"/>
        <v>32</v>
      </c>
      <c r="AH1">
        <f t="shared" si="0"/>
        <v>33</v>
      </c>
      <c r="AI1">
        <f t="shared" si="0"/>
        <v>34</v>
      </c>
      <c r="AJ1">
        <f t="shared" si="0"/>
        <v>35</v>
      </c>
      <c r="AK1">
        <f t="shared" si="0"/>
        <v>36</v>
      </c>
      <c r="AL1">
        <f t="shared" si="0"/>
        <v>37</v>
      </c>
      <c r="AM1">
        <f t="shared" si="0"/>
        <v>38</v>
      </c>
      <c r="AN1">
        <f t="shared" si="0"/>
        <v>39</v>
      </c>
      <c r="AO1">
        <f t="shared" si="0"/>
        <v>40</v>
      </c>
      <c r="AP1">
        <f t="shared" si="0"/>
        <v>41</v>
      </c>
      <c r="AQ1">
        <f t="shared" si="0"/>
        <v>42</v>
      </c>
      <c r="AR1">
        <f t="shared" si="0"/>
        <v>43</v>
      </c>
      <c r="AS1">
        <f t="shared" si="0"/>
        <v>44</v>
      </c>
      <c r="AT1">
        <f t="shared" si="0"/>
        <v>45</v>
      </c>
      <c r="AU1">
        <f t="shared" si="0"/>
        <v>46</v>
      </c>
      <c r="AV1">
        <f t="shared" si="0"/>
        <v>47</v>
      </c>
      <c r="AW1">
        <f t="shared" si="0"/>
        <v>48</v>
      </c>
      <c r="AX1">
        <f t="shared" si="0"/>
        <v>49</v>
      </c>
      <c r="AY1">
        <f t="shared" si="0"/>
        <v>50</v>
      </c>
      <c r="AZ1">
        <f t="shared" si="0"/>
        <v>51</v>
      </c>
      <c r="BA1">
        <f t="shared" si="0"/>
        <v>52</v>
      </c>
      <c r="BB1">
        <f t="shared" si="0"/>
        <v>53</v>
      </c>
      <c r="BC1">
        <f t="shared" si="0"/>
        <v>54</v>
      </c>
      <c r="BD1">
        <f t="shared" si="0"/>
        <v>55</v>
      </c>
      <c r="BE1">
        <f t="shared" si="0"/>
        <v>56</v>
      </c>
      <c r="BF1">
        <f t="shared" si="0"/>
        <v>57</v>
      </c>
      <c r="BG1">
        <f t="shared" si="0"/>
        <v>58</v>
      </c>
      <c r="BH1">
        <f t="shared" si="0"/>
        <v>59</v>
      </c>
      <c r="BI1">
        <f t="shared" si="0"/>
        <v>60</v>
      </c>
      <c r="BJ1">
        <f t="shared" si="0"/>
        <v>61</v>
      </c>
      <c r="BK1">
        <f t="shared" si="0"/>
        <v>62</v>
      </c>
      <c r="BL1">
        <f t="shared" si="0"/>
        <v>63</v>
      </c>
      <c r="BM1">
        <f t="shared" si="0"/>
        <v>64</v>
      </c>
      <c r="BN1">
        <f t="shared" si="0"/>
        <v>65</v>
      </c>
      <c r="BO1">
        <f t="shared" ref="BO1:DZ1" si="1">BN1+1</f>
        <v>66</v>
      </c>
      <c r="BP1">
        <f t="shared" si="1"/>
        <v>67</v>
      </c>
      <c r="BQ1">
        <f t="shared" si="1"/>
        <v>68</v>
      </c>
      <c r="BR1">
        <f t="shared" si="1"/>
        <v>69</v>
      </c>
      <c r="BS1">
        <f t="shared" si="1"/>
        <v>70</v>
      </c>
      <c r="BT1">
        <f t="shared" si="1"/>
        <v>71</v>
      </c>
      <c r="BU1">
        <f t="shared" si="1"/>
        <v>72</v>
      </c>
      <c r="BV1">
        <f t="shared" si="1"/>
        <v>73</v>
      </c>
      <c r="BW1">
        <f t="shared" si="1"/>
        <v>74</v>
      </c>
      <c r="BX1">
        <f t="shared" si="1"/>
        <v>75</v>
      </c>
      <c r="BY1">
        <f t="shared" si="1"/>
        <v>76</v>
      </c>
      <c r="BZ1">
        <f t="shared" si="1"/>
        <v>77</v>
      </c>
      <c r="CA1">
        <f t="shared" si="1"/>
        <v>78</v>
      </c>
      <c r="CB1">
        <f t="shared" si="1"/>
        <v>79</v>
      </c>
      <c r="CC1">
        <f t="shared" si="1"/>
        <v>80</v>
      </c>
      <c r="CD1">
        <f t="shared" si="1"/>
        <v>81</v>
      </c>
      <c r="CE1">
        <f t="shared" si="1"/>
        <v>82</v>
      </c>
      <c r="CF1">
        <f t="shared" si="1"/>
        <v>83</v>
      </c>
      <c r="CG1">
        <f t="shared" si="1"/>
        <v>84</v>
      </c>
      <c r="CH1">
        <f t="shared" si="1"/>
        <v>85</v>
      </c>
      <c r="CI1">
        <f t="shared" si="1"/>
        <v>86</v>
      </c>
      <c r="CJ1">
        <f t="shared" si="1"/>
        <v>87</v>
      </c>
      <c r="CK1">
        <f t="shared" si="1"/>
        <v>88</v>
      </c>
      <c r="CL1">
        <f t="shared" si="1"/>
        <v>89</v>
      </c>
      <c r="CM1">
        <f t="shared" si="1"/>
        <v>90</v>
      </c>
      <c r="CN1">
        <f t="shared" si="1"/>
        <v>91</v>
      </c>
      <c r="CO1">
        <f t="shared" si="1"/>
        <v>92</v>
      </c>
      <c r="CP1">
        <f t="shared" si="1"/>
        <v>93</v>
      </c>
      <c r="CQ1">
        <f t="shared" si="1"/>
        <v>94</v>
      </c>
      <c r="CR1">
        <f t="shared" si="1"/>
        <v>95</v>
      </c>
      <c r="CS1">
        <f t="shared" si="1"/>
        <v>96</v>
      </c>
      <c r="CT1">
        <f t="shared" si="1"/>
        <v>97</v>
      </c>
      <c r="CU1">
        <f t="shared" si="1"/>
        <v>98</v>
      </c>
      <c r="CV1">
        <f t="shared" si="1"/>
        <v>99</v>
      </c>
      <c r="CW1">
        <f t="shared" si="1"/>
        <v>100</v>
      </c>
      <c r="CX1">
        <f t="shared" si="1"/>
        <v>101</v>
      </c>
      <c r="CY1">
        <f t="shared" si="1"/>
        <v>102</v>
      </c>
      <c r="CZ1">
        <f t="shared" si="1"/>
        <v>103</v>
      </c>
      <c r="DA1">
        <f t="shared" si="1"/>
        <v>104</v>
      </c>
      <c r="DB1">
        <f t="shared" si="1"/>
        <v>105</v>
      </c>
      <c r="DC1">
        <f t="shared" si="1"/>
        <v>106</v>
      </c>
      <c r="DD1">
        <f t="shared" si="1"/>
        <v>107</v>
      </c>
      <c r="DE1">
        <f t="shared" si="1"/>
        <v>108</v>
      </c>
      <c r="DF1">
        <f t="shared" si="1"/>
        <v>109</v>
      </c>
      <c r="DG1">
        <f t="shared" si="1"/>
        <v>110</v>
      </c>
      <c r="DH1">
        <f t="shared" si="1"/>
        <v>111</v>
      </c>
      <c r="DI1">
        <f t="shared" si="1"/>
        <v>112</v>
      </c>
      <c r="DJ1">
        <f t="shared" si="1"/>
        <v>113</v>
      </c>
      <c r="DK1">
        <f t="shared" si="1"/>
        <v>114</v>
      </c>
      <c r="DL1">
        <f t="shared" si="1"/>
        <v>115</v>
      </c>
      <c r="DM1">
        <f t="shared" si="1"/>
        <v>116</v>
      </c>
      <c r="DN1">
        <f t="shared" si="1"/>
        <v>117</v>
      </c>
      <c r="DO1">
        <f t="shared" si="1"/>
        <v>118</v>
      </c>
      <c r="DP1">
        <f t="shared" si="1"/>
        <v>119</v>
      </c>
      <c r="DQ1">
        <f t="shared" si="1"/>
        <v>120</v>
      </c>
      <c r="DR1">
        <f t="shared" si="1"/>
        <v>121</v>
      </c>
      <c r="DS1">
        <f t="shared" si="1"/>
        <v>122</v>
      </c>
      <c r="DT1">
        <f t="shared" si="1"/>
        <v>123</v>
      </c>
      <c r="DU1">
        <f t="shared" si="1"/>
        <v>124</v>
      </c>
      <c r="DV1">
        <f t="shared" si="1"/>
        <v>125</v>
      </c>
      <c r="DW1">
        <f t="shared" si="1"/>
        <v>126</v>
      </c>
      <c r="DX1">
        <f t="shared" si="1"/>
        <v>127</v>
      </c>
      <c r="DY1">
        <f t="shared" si="1"/>
        <v>128</v>
      </c>
      <c r="DZ1">
        <f t="shared" si="1"/>
        <v>129</v>
      </c>
      <c r="EA1">
        <f t="shared" ref="EA1:GL1" si="2">DZ1+1</f>
        <v>130</v>
      </c>
      <c r="EB1">
        <f t="shared" si="2"/>
        <v>131</v>
      </c>
      <c r="EC1">
        <f t="shared" si="2"/>
        <v>132</v>
      </c>
      <c r="ED1">
        <f t="shared" si="2"/>
        <v>133</v>
      </c>
      <c r="EE1">
        <f t="shared" si="2"/>
        <v>134</v>
      </c>
      <c r="EF1">
        <f t="shared" si="2"/>
        <v>135</v>
      </c>
      <c r="EG1">
        <f t="shared" si="2"/>
        <v>136</v>
      </c>
      <c r="EH1">
        <f t="shared" si="2"/>
        <v>137</v>
      </c>
      <c r="EI1">
        <f t="shared" si="2"/>
        <v>138</v>
      </c>
      <c r="EJ1">
        <f t="shared" si="2"/>
        <v>139</v>
      </c>
      <c r="EK1">
        <f t="shared" si="2"/>
        <v>140</v>
      </c>
      <c r="EL1">
        <f t="shared" si="2"/>
        <v>141</v>
      </c>
      <c r="EM1">
        <f t="shared" si="2"/>
        <v>142</v>
      </c>
      <c r="EN1">
        <f t="shared" si="2"/>
        <v>143</v>
      </c>
      <c r="EO1">
        <f t="shared" si="2"/>
        <v>144</v>
      </c>
      <c r="EP1">
        <f t="shared" si="2"/>
        <v>145</v>
      </c>
      <c r="EQ1">
        <f t="shared" si="2"/>
        <v>146</v>
      </c>
      <c r="ER1">
        <f t="shared" si="2"/>
        <v>147</v>
      </c>
      <c r="ES1">
        <f t="shared" si="2"/>
        <v>148</v>
      </c>
      <c r="ET1">
        <f t="shared" si="2"/>
        <v>149</v>
      </c>
      <c r="EU1">
        <f t="shared" si="2"/>
        <v>150</v>
      </c>
      <c r="EV1">
        <f t="shared" si="2"/>
        <v>151</v>
      </c>
      <c r="EW1">
        <f t="shared" si="2"/>
        <v>152</v>
      </c>
      <c r="EX1">
        <f t="shared" si="2"/>
        <v>153</v>
      </c>
      <c r="EY1">
        <f t="shared" si="2"/>
        <v>154</v>
      </c>
      <c r="EZ1">
        <f t="shared" si="2"/>
        <v>155</v>
      </c>
      <c r="FA1">
        <f t="shared" si="2"/>
        <v>156</v>
      </c>
      <c r="FB1">
        <f t="shared" si="2"/>
        <v>157</v>
      </c>
      <c r="FC1">
        <f t="shared" si="2"/>
        <v>158</v>
      </c>
      <c r="FD1">
        <f t="shared" si="2"/>
        <v>159</v>
      </c>
      <c r="FE1">
        <f t="shared" si="2"/>
        <v>160</v>
      </c>
      <c r="FF1">
        <f t="shared" si="2"/>
        <v>161</v>
      </c>
      <c r="FG1">
        <f t="shared" si="2"/>
        <v>162</v>
      </c>
      <c r="FH1">
        <f t="shared" si="2"/>
        <v>163</v>
      </c>
      <c r="FI1">
        <f t="shared" si="2"/>
        <v>164</v>
      </c>
      <c r="FJ1">
        <f t="shared" si="2"/>
        <v>165</v>
      </c>
      <c r="FK1">
        <f t="shared" si="2"/>
        <v>166</v>
      </c>
      <c r="FL1">
        <f t="shared" si="2"/>
        <v>167</v>
      </c>
      <c r="FM1">
        <f t="shared" si="2"/>
        <v>168</v>
      </c>
      <c r="FN1">
        <f t="shared" si="2"/>
        <v>169</v>
      </c>
      <c r="FO1">
        <f t="shared" si="2"/>
        <v>170</v>
      </c>
      <c r="FP1">
        <f t="shared" si="2"/>
        <v>171</v>
      </c>
      <c r="FQ1">
        <f t="shared" si="2"/>
        <v>172</v>
      </c>
      <c r="FR1">
        <f t="shared" si="2"/>
        <v>173</v>
      </c>
      <c r="FS1">
        <f t="shared" si="2"/>
        <v>174</v>
      </c>
      <c r="FT1">
        <f t="shared" si="2"/>
        <v>175</v>
      </c>
      <c r="FU1">
        <f t="shared" si="2"/>
        <v>176</v>
      </c>
      <c r="FV1">
        <f t="shared" si="2"/>
        <v>177</v>
      </c>
      <c r="FW1">
        <f t="shared" si="2"/>
        <v>178</v>
      </c>
      <c r="FX1">
        <f t="shared" si="2"/>
        <v>179</v>
      </c>
      <c r="FY1">
        <f t="shared" si="2"/>
        <v>180</v>
      </c>
      <c r="FZ1">
        <f t="shared" si="2"/>
        <v>181</v>
      </c>
      <c r="GA1">
        <f t="shared" si="2"/>
        <v>182</v>
      </c>
      <c r="GB1">
        <f t="shared" si="2"/>
        <v>183</v>
      </c>
      <c r="GC1">
        <f t="shared" si="2"/>
        <v>184</v>
      </c>
      <c r="GD1">
        <f t="shared" si="2"/>
        <v>185</v>
      </c>
      <c r="GE1">
        <f t="shared" si="2"/>
        <v>186</v>
      </c>
      <c r="GF1">
        <f t="shared" si="2"/>
        <v>187</v>
      </c>
      <c r="GG1">
        <f t="shared" si="2"/>
        <v>188</v>
      </c>
      <c r="GH1">
        <f t="shared" si="2"/>
        <v>189</v>
      </c>
      <c r="GI1">
        <f t="shared" si="2"/>
        <v>190</v>
      </c>
      <c r="GJ1">
        <f t="shared" si="2"/>
        <v>191</v>
      </c>
      <c r="GK1">
        <f t="shared" si="2"/>
        <v>192</v>
      </c>
      <c r="GL1">
        <f t="shared" si="2"/>
        <v>193</v>
      </c>
      <c r="GM1">
        <f t="shared" ref="GM1:IG1" si="3">GL1+1</f>
        <v>194</v>
      </c>
      <c r="GN1">
        <f t="shared" si="3"/>
        <v>195</v>
      </c>
      <c r="GO1">
        <f t="shared" si="3"/>
        <v>196</v>
      </c>
      <c r="GP1">
        <f t="shared" si="3"/>
        <v>197</v>
      </c>
      <c r="GQ1">
        <f t="shared" si="3"/>
        <v>198</v>
      </c>
      <c r="GR1">
        <f t="shared" si="3"/>
        <v>199</v>
      </c>
      <c r="GS1">
        <f t="shared" si="3"/>
        <v>200</v>
      </c>
      <c r="GT1">
        <f t="shared" si="3"/>
        <v>201</v>
      </c>
      <c r="GU1">
        <f t="shared" si="3"/>
        <v>202</v>
      </c>
      <c r="GV1">
        <f t="shared" si="3"/>
        <v>203</v>
      </c>
      <c r="GW1">
        <f t="shared" si="3"/>
        <v>204</v>
      </c>
      <c r="GX1">
        <f t="shared" si="3"/>
        <v>205</v>
      </c>
      <c r="GY1">
        <f t="shared" si="3"/>
        <v>206</v>
      </c>
      <c r="GZ1">
        <f t="shared" si="3"/>
        <v>207</v>
      </c>
      <c r="HA1">
        <f t="shared" si="3"/>
        <v>208</v>
      </c>
      <c r="HB1">
        <f t="shared" si="3"/>
        <v>209</v>
      </c>
      <c r="HC1">
        <f t="shared" si="3"/>
        <v>210</v>
      </c>
      <c r="HD1">
        <f t="shared" si="3"/>
        <v>211</v>
      </c>
      <c r="HE1">
        <f t="shared" si="3"/>
        <v>212</v>
      </c>
      <c r="HF1">
        <f t="shared" si="3"/>
        <v>213</v>
      </c>
      <c r="HG1">
        <f t="shared" si="3"/>
        <v>214</v>
      </c>
      <c r="HH1">
        <f t="shared" si="3"/>
        <v>215</v>
      </c>
      <c r="HI1">
        <f t="shared" si="3"/>
        <v>216</v>
      </c>
      <c r="HJ1">
        <f t="shared" si="3"/>
        <v>217</v>
      </c>
      <c r="HK1">
        <f t="shared" si="3"/>
        <v>218</v>
      </c>
      <c r="HL1">
        <f t="shared" si="3"/>
        <v>219</v>
      </c>
      <c r="HM1">
        <f t="shared" si="3"/>
        <v>220</v>
      </c>
      <c r="HN1">
        <f t="shared" si="3"/>
        <v>221</v>
      </c>
      <c r="HO1">
        <f t="shared" si="3"/>
        <v>222</v>
      </c>
      <c r="HP1">
        <f t="shared" si="3"/>
        <v>223</v>
      </c>
      <c r="HQ1">
        <f t="shared" si="3"/>
        <v>224</v>
      </c>
      <c r="HR1">
        <f t="shared" si="3"/>
        <v>225</v>
      </c>
      <c r="HS1">
        <f t="shared" si="3"/>
        <v>226</v>
      </c>
      <c r="HT1">
        <f t="shared" si="3"/>
        <v>227</v>
      </c>
      <c r="HU1">
        <f t="shared" si="3"/>
        <v>228</v>
      </c>
      <c r="HV1">
        <f t="shared" si="3"/>
        <v>229</v>
      </c>
      <c r="HW1">
        <f t="shared" si="3"/>
        <v>230</v>
      </c>
      <c r="HX1">
        <f t="shared" si="3"/>
        <v>231</v>
      </c>
      <c r="HY1">
        <f t="shared" si="3"/>
        <v>232</v>
      </c>
      <c r="HZ1">
        <f t="shared" si="3"/>
        <v>233</v>
      </c>
      <c r="IA1">
        <f t="shared" si="3"/>
        <v>234</v>
      </c>
      <c r="IB1">
        <f t="shared" si="3"/>
        <v>235</v>
      </c>
      <c r="IC1">
        <f t="shared" si="3"/>
        <v>236</v>
      </c>
      <c r="ID1">
        <f t="shared" si="3"/>
        <v>237</v>
      </c>
      <c r="IE1">
        <f t="shared" si="3"/>
        <v>238</v>
      </c>
      <c r="IF1">
        <f t="shared" si="3"/>
        <v>239</v>
      </c>
      <c r="IG1">
        <f t="shared" si="3"/>
        <v>240</v>
      </c>
    </row>
    <row r="2" spans="1:247" s="39" customFormat="1" x14ac:dyDescent="0.25">
      <c r="A2" s="69"/>
      <c r="B2" s="68">
        <v>42186</v>
      </c>
      <c r="C2" s="67">
        <v>42217</v>
      </c>
      <c r="D2" s="67">
        <v>42248</v>
      </c>
      <c r="E2" s="67">
        <v>42278</v>
      </c>
      <c r="F2" s="67">
        <v>42309</v>
      </c>
      <c r="G2" s="67">
        <v>42339</v>
      </c>
      <c r="H2" s="67">
        <v>42370</v>
      </c>
      <c r="I2" s="67">
        <v>42401</v>
      </c>
      <c r="J2" s="67">
        <v>42430</v>
      </c>
      <c r="K2" s="67">
        <v>42461</v>
      </c>
      <c r="L2" s="67">
        <v>42491</v>
      </c>
      <c r="M2" s="67">
        <v>42522</v>
      </c>
      <c r="N2" s="67">
        <v>42552</v>
      </c>
      <c r="O2" s="67">
        <v>42583</v>
      </c>
      <c r="P2" s="67">
        <v>42614</v>
      </c>
      <c r="Q2" s="67">
        <v>42644</v>
      </c>
      <c r="R2" s="67">
        <v>42675</v>
      </c>
      <c r="S2" s="67">
        <v>42705</v>
      </c>
      <c r="T2" s="67">
        <v>42736</v>
      </c>
      <c r="U2" s="67">
        <v>42767</v>
      </c>
      <c r="V2" s="67">
        <v>42795</v>
      </c>
      <c r="W2" s="67">
        <v>42826</v>
      </c>
      <c r="X2" s="67">
        <v>42856</v>
      </c>
      <c r="Y2" s="67">
        <v>42887</v>
      </c>
      <c r="Z2" s="67">
        <v>42917</v>
      </c>
      <c r="AA2" s="67">
        <v>42948</v>
      </c>
      <c r="AB2" s="67">
        <v>42979</v>
      </c>
      <c r="AC2" s="67">
        <v>43009</v>
      </c>
      <c r="AD2" s="67">
        <v>43040</v>
      </c>
      <c r="AE2" s="67">
        <v>43070</v>
      </c>
      <c r="AF2" s="67">
        <v>43101</v>
      </c>
      <c r="AG2" s="67">
        <v>43132</v>
      </c>
      <c r="AH2" s="67">
        <v>43160</v>
      </c>
      <c r="AI2" s="67">
        <v>43191</v>
      </c>
      <c r="AJ2" s="67">
        <v>43221</v>
      </c>
      <c r="AK2" s="67">
        <v>43252</v>
      </c>
      <c r="AL2" s="67">
        <v>43282</v>
      </c>
      <c r="AM2" s="67">
        <v>43313</v>
      </c>
      <c r="AN2" s="67">
        <v>43344</v>
      </c>
      <c r="AO2" s="67">
        <v>43374</v>
      </c>
      <c r="AP2" s="67">
        <v>43405</v>
      </c>
      <c r="AQ2" s="67">
        <v>43435</v>
      </c>
      <c r="AR2" s="67">
        <v>43466</v>
      </c>
      <c r="AS2" s="67">
        <v>43497</v>
      </c>
      <c r="AT2" s="67">
        <v>43525</v>
      </c>
      <c r="AU2" s="67">
        <v>43556</v>
      </c>
      <c r="AV2" s="67">
        <v>43586</v>
      </c>
      <c r="AW2" s="67">
        <v>43617</v>
      </c>
      <c r="AX2" s="67">
        <v>43647</v>
      </c>
      <c r="AY2" s="67">
        <v>43678</v>
      </c>
      <c r="AZ2" s="67">
        <v>43709</v>
      </c>
      <c r="BA2" s="67">
        <v>43739</v>
      </c>
      <c r="BB2" s="67">
        <v>43770</v>
      </c>
      <c r="BC2" s="67">
        <v>43800</v>
      </c>
      <c r="BD2" s="67">
        <v>43831</v>
      </c>
      <c r="BE2" s="67">
        <v>43862</v>
      </c>
      <c r="BF2" s="67">
        <v>43891</v>
      </c>
      <c r="BG2" s="67">
        <v>43922</v>
      </c>
      <c r="BH2" s="67">
        <v>43952</v>
      </c>
      <c r="BI2" s="67">
        <v>43983</v>
      </c>
      <c r="BJ2" s="67">
        <v>44013</v>
      </c>
      <c r="BK2" s="67">
        <v>44044</v>
      </c>
      <c r="BL2" s="67">
        <v>44075</v>
      </c>
      <c r="BM2" s="67">
        <v>44105</v>
      </c>
      <c r="BN2" s="67">
        <v>44136</v>
      </c>
      <c r="BO2" s="67">
        <v>44166</v>
      </c>
      <c r="BP2" s="67">
        <v>44197</v>
      </c>
      <c r="BQ2" s="67">
        <v>44228</v>
      </c>
      <c r="BR2" s="67">
        <v>44256</v>
      </c>
      <c r="BS2" s="67">
        <v>44287</v>
      </c>
      <c r="BT2" s="67">
        <v>44317</v>
      </c>
      <c r="BU2" s="67">
        <v>44348</v>
      </c>
      <c r="BV2" s="67">
        <v>44378</v>
      </c>
      <c r="BW2" s="67">
        <v>44409</v>
      </c>
      <c r="BX2" s="67">
        <v>44440</v>
      </c>
      <c r="BY2" s="67">
        <v>44470</v>
      </c>
      <c r="BZ2" s="67">
        <v>44501</v>
      </c>
      <c r="CA2" s="67">
        <v>44531</v>
      </c>
      <c r="CB2" s="67">
        <v>44562</v>
      </c>
      <c r="CC2" s="67">
        <v>44593</v>
      </c>
      <c r="CD2" s="67">
        <v>44621</v>
      </c>
      <c r="CE2" s="67">
        <v>44652</v>
      </c>
      <c r="CF2" s="67">
        <v>44682</v>
      </c>
      <c r="CG2" s="67">
        <v>44713</v>
      </c>
      <c r="CH2" s="67">
        <v>44743</v>
      </c>
      <c r="CI2" s="67">
        <v>44774</v>
      </c>
      <c r="CJ2" s="67">
        <v>44805</v>
      </c>
      <c r="CK2" s="67">
        <v>44835</v>
      </c>
      <c r="CL2" s="67">
        <v>44866</v>
      </c>
      <c r="CM2" s="67">
        <v>44896</v>
      </c>
      <c r="CN2" s="67">
        <v>44927</v>
      </c>
      <c r="CO2" s="67">
        <v>44958</v>
      </c>
      <c r="CP2" s="67">
        <v>44986</v>
      </c>
      <c r="CQ2" s="67">
        <v>45017</v>
      </c>
      <c r="CR2" s="67">
        <v>45047</v>
      </c>
      <c r="CS2" s="67">
        <v>45078</v>
      </c>
      <c r="CT2" s="67">
        <v>45108</v>
      </c>
      <c r="CU2" s="67">
        <v>45139</v>
      </c>
      <c r="CV2" s="67">
        <v>45170</v>
      </c>
      <c r="CW2" s="67">
        <v>45200</v>
      </c>
      <c r="CX2" s="67">
        <v>45231</v>
      </c>
      <c r="CY2" s="67">
        <v>45261</v>
      </c>
      <c r="CZ2" s="67">
        <v>45292</v>
      </c>
      <c r="DA2" s="67">
        <v>45323</v>
      </c>
      <c r="DB2" s="67">
        <v>45352</v>
      </c>
      <c r="DC2" s="67">
        <v>45383</v>
      </c>
      <c r="DD2" s="67">
        <v>45413</v>
      </c>
      <c r="DE2" s="67">
        <v>45444</v>
      </c>
      <c r="DF2" s="67">
        <v>45474</v>
      </c>
      <c r="DG2" s="67">
        <v>45505</v>
      </c>
      <c r="DH2" s="67">
        <v>45536</v>
      </c>
      <c r="DI2" s="67">
        <v>45566</v>
      </c>
      <c r="DJ2" s="67">
        <v>45597</v>
      </c>
      <c r="DK2" s="67">
        <v>45627</v>
      </c>
      <c r="DL2" s="67">
        <v>45658</v>
      </c>
      <c r="DM2" s="67">
        <v>45689</v>
      </c>
      <c r="DN2" s="67">
        <v>45717</v>
      </c>
      <c r="DO2" s="67">
        <v>45748</v>
      </c>
      <c r="DP2" s="67">
        <v>45778</v>
      </c>
      <c r="DQ2" s="67">
        <v>45809</v>
      </c>
      <c r="DR2" s="67">
        <v>45839</v>
      </c>
      <c r="DS2" s="67">
        <v>45870</v>
      </c>
      <c r="DT2" s="67">
        <v>45901</v>
      </c>
      <c r="DU2" s="67">
        <v>45931</v>
      </c>
      <c r="DV2" s="67">
        <v>45962</v>
      </c>
      <c r="DW2" s="67">
        <v>45992</v>
      </c>
      <c r="DX2" s="67">
        <v>46023</v>
      </c>
      <c r="DY2" s="67">
        <v>46054</v>
      </c>
      <c r="DZ2" s="67">
        <v>46082</v>
      </c>
      <c r="EA2" s="67">
        <v>46113</v>
      </c>
      <c r="EB2" s="67">
        <v>46143</v>
      </c>
      <c r="EC2" s="67">
        <v>46174</v>
      </c>
      <c r="ED2" s="67">
        <v>46204</v>
      </c>
      <c r="EE2" s="67">
        <v>46235</v>
      </c>
      <c r="EF2" s="67">
        <v>46266</v>
      </c>
      <c r="EG2" s="67">
        <v>46296</v>
      </c>
      <c r="EH2" s="67">
        <v>46327</v>
      </c>
      <c r="EI2" s="67">
        <v>46357</v>
      </c>
      <c r="EJ2" s="67">
        <v>46388</v>
      </c>
      <c r="EK2" s="67">
        <v>46419</v>
      </c>
      <c r="EL2" s="67">
        <v>46447</v>
      </c>
      <c r="EM2" s="67">
        <v>46478</v>
      </c>
      <c r="EN2" s="67">
        <v>46508</v>
      </c>
      <c r="EO2" s="67">
        <v>46539</v>
      </c>
      <c r="EP2" s="67">
        <v>46569</v>
      </c>
      <c r="EQ2" s="67">
        <v>46600</v>
      </c>
      <c r="ER2" s="67">
        <v>46631</v>
      </c>
      <c r="ES2" s="67">
        <v>46661</v>
      </c>
      <c r="ET2" s="67">
        <v>46692</v>
      </c>
      <c r="EU2" s="67">
        <v>46722</v>
      </c>
      <c r="EV2" s="67">
        <v>46753</v>
      </c>
      <c r="EW2" s="67">
        <v>46784</v>
      </c>
      <c r="EX2" s="67">
        <v>46813</v>
      </c>
      <c r="EY2" s="67">
        <v>46844</v>
      </c>
      <c r="EZ2" s="67">
        <v>46874</v>
      </c>
      <c r="FA2" s="67">
        <v>46905</v>
      </c>
      <c r="FB2" s="67">
        <v>46935</v>
      </c>
      <c r="FC2" s="67">
        <v>46966</v>
      </c>
      <c r="FD2" s="67">
        <v>46997</v>
      </c>
      <c r="FE2" s="67">
        <v>47027</v>
      </c>
      <c r="FF2" s="67">
        <v>47058</v>
      </c>
      <c r="FG2" s="67">
        <v>47088</v>
      </c>
      <c r="FH2" s="67">
        <v>47119</v>
      </c>
      <c r="FI2" s="67">
        <v>47150</v>
      </c>
      <c r="FJ2" s="67">
        <v>47178</v>
      </c>
      <c r="FK2" s="67">
        <v>47209</v>
      </c>
      <c r="FL2" s="67">
        <v>47239</v>
      </c>
      <c r="FM2" s="67">
        <v>47270</v>
      </c>
      <c r="FN2" s="67">
        <v>47300</v>
      </c>
      <c r="FO2" s="67">
        <v>47331</v>
      </c>
      <c r="FP2" s="67">
        <v>47362</v>
      </c>
      <c r="FQ2" s="67">
        <v>47392</v>
      </c>
      <c r="FR2" s="67">
        <v>47423</v>
      </c>
      <c r="FS2" s="67">
        <v>47453</v>
      </c>
      <c r="FT2" s="67">
        <v>47484</v>
      </c>
      <c r="FU2" s="67">
        <v>47515</v>
      </c>
      <c r="FV2" s="67">
        <v>47543</v>
      </c>
      <c r="FW2" s="67">
        <v>47574</v>
      </c>
      <c r="FX2" s="67">
        <v>47604</v>
      </c>
      <c r="FY2" s="67">
        <v>47635</v>
      </c>
      <c r="FZ2" s="67">
        <v>47665</v>
      </c>
      <c r="GA2" s="67">
        <v>47696</v>
      </c>
      <c r="GB2" s="67">
        <v>47727</v>
      </c>
      <c r="GC2" s="67">
        <v>47757</v>
      </c>
      <c r="GD2" s="67">
        <v>47788</v>
      </c>
      <c r="GE2" s="67">
        <v>47818</v>
      </c>
      <c r="GF2" s="67">
        <v>47849</v>
      </c>
      <c r="GG2" s="67">
        <v>47880</v>
      </c>
      <c r="GH2" s="67">
        <v>47908</v>
      </c>
      <c r="GI2" s="67">
        <v>47939</v>
      </c>
      <c r="GJ2" s="67">
        <v>47969</v>
      </c>
      <c r="GK2" s="67">
        <v>48000</v>
      </c>
      <c r="GL2" s="67">
        <v>48030</v>
      </c>
      <c r="GM2" s="67">
        <v>48061</v>
      </c>
      <c r="GN2" s="67">
        <v>48092</v>
      </c>
      <c r="GO2" s="67">
        <v>48122</v>
      </c>
      <c r="GP2" s="67">
        <v>48153</v>
      </c>
      <c r="GQ2" s="67">
        <v>48183</v>
      </c>
      <c r="GR2" s="67">
        <v>48214</v>
      </c>
      <c r="GS2" s="67">
        <v>48245</v>
      </c>
      <c r="GT2" s="67">
        <v>48274</v>
      </c>
      <c r="GU2" s="67">
        <v>48305</v>
      </c>
      <c r="GV2" s="67">
        <v>48335</v>
      </c>
      <c r="GW2" s="67">
        <v>48366</v>
      </c>
      <c r="GX2" s="67">
        <v>48396</v>
      </c>
      <c r="GY2" s="67">
        <v>48427</v>
      </c>
      <c r="GZ2" s="67">
        <v>48458</v>
      </c>
      <c r="HA2" s="67">
        <v>48488</v>
      </c>
      <c r="HB2" s="67">
        <v>48519</v>
      </c>
      <c r="HC2" s="67">
        <v>48549</v>
      </c>
      <c r="HD2" s="67">
        <v>48580</v>
      </c>
      <c r="HE2" s="67">
        <v>48611</v>
      </c>
      <c r="HF2" s="67">
        <v>48639</v>
      </c>
      <c r="HG2" s="67">
        <v>48670</v>
      </c>
      <c r="HH2" s="67">
        <v>48700</v>
      </c>
      <c r="HI2" s="67">
        <v>48731</v>
      </c>
      <c r="HJ2" s="67">
        <v>48761</v>
      </c>
      <c r="HK2" s="67">
        <v>48792</v>
      </c>
      <c r="HL2" s="67">
        <v>48823</v>
      </c>
      <c r="HM2" s="67">
        <v>48853</v>
      </c>
      <c r="HN2" s="67">
        <v>48884</v>
      </c>
      <c r="HO2" s="67">
        <v>48914</v>
      </c>
      <c r="HP2" s="67">
        <v>48945</v>
      </c>
      <c r="HQ2" s="67">
        <v>48976</v>
      </c>
      <c r="HR2" s="67">
        <v>49004</v>
      </c>
      <c r="HS2" s="67">
        <v>49035</v>
      </c>
      <c r="HT2" s="67">
        <v>49065</v>
      </c>
      <c r="HU2" s="67">
        <v>49096</v>
      </c>
      <c r="HV2" s="67">
        <v>49126</v>
      </c>
      <c r="HW2" s="67">
        <v>49157</v>
      </c>
      <c r="HX2" s="67">
        <v>49188</v>
      </c>
      <c r="HY2" s="67">
        <v>49218</v>
      </c>
      <c r="HZ2" s="67">
        <v>49249</v>
      </c>
      <c r="IA2" s="67">
        <v>49279</v>
      </c>
      <c r="IB2" s="67">
        <v>49310</v>
      </c>
      <c r="IC2" s="67">
        <v>49341</v>
      </c>
      <c r="ID2" s="67">
        <v>49369</v>
      </c>
      <c r="IE2" s="67">
        <v>49400</v>
      </c>
      <c r="IF2" s="67">
        <v>49430</v>
      </c>
      <c r="IG2" s="67">
        <v>49461</v>
      </c>
      <c r="IH2" s="67"/>
      <c r="II2" s="67"/>
      <c r="IJ2" s="67"/>
      <c r="IK2" s="67"/>
      <c r="IL2" s="67"/>
      <c r="IM2" s="67"/>
    </row>
    <row r="3" spans="1:247" ht="15" customHeight="1" x14ac:dyDescent="0.25">
      <c r="A3" s="57" t="s">
        <v>334</v>
      </c>
      <c r="B3" s="46">
        <f>-'Вхідні дані'!B18</f>
        <v>0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</row>
    <row r="4" spans="1:247" x14ac:dyDescent="0.25">
      <c r="A4" s="57" t="s">
        <v>333</v>
      </c>
      <c r="B4" s="46">
        <f>-'Вхідні дані'!B23</f>
        <v>-42446.486399999994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</row>
    <row r="5" spans="1:247" x14ac:dyDescent="0.25">
      <c r="A5" s="57" t="s">
        <v>332</v>
      </c>
      <c r="B5" s="46">
        <f>B3+B4</f>
        <v>-42446.486399999994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</row>
    <row r="6" spans="1:247" x14ac:dyDescent="0.25">
      <c r="A6" s="57" t="s">
        <v>331</v>
      </c>
      <c r="B6" s="66"/>
      <c r="C6" s="66"/>
      <c r="D6" s="66"/>
      <c r="E6" s="46">
        <f>'Вхідні дані'!B30</f>
        <v>-41528.684950734219</v>
      </c>
      <c r="F6" s="46">
        <f t="shared" ref="F6:AK6" si="4">E6</f>
        <v>-41528.684950734219</v>
      </c>
      <c r="G6" s="46">
        <f t="shared" si="4"/>
        <v>-41528.684950734219</v>
      </c>
      <c r="H6" s="46">
        <f t="shared" si="4"/>
        <v>-41528.684950734219</v>
      </c>
      <c r="I6" s="46">
        <f t="shared" si="4"/>
        <v>-41528.684950734219</v>
      </c>
      <c r="J6" s="46">
        <f t="shared" si="4"/>
        <v>-41528.684950734219</v>
      </c>
      <c r="K6" s="46">
        <f t="shared" si="4"/>
        <v>-41528.684950734219</v>
      </c>
      <c r="L6" s="46">
        <f t="shared" si="4"/>
        <v>-41528.684950734219</v>
      </c>
      <c r="M6" s="46">
        <f t="shared" si="4"/>
        <v>-41528.684950734219</v>
      </c>
      <c r="N6" s="46">
        <f t="shared" si="4"/>
        <v>-41528.684950734219</v>
      </c>
      <c r="O6" s="46">
        <f t="shared" si="4"/>
        <v>-41528.684950734219</v>
      </c>
      <c r="P6" s="46">
        <f t="shared" si="4"/>
        <v>-41528.684950734219</v>
      </c>
      <c r="Q6" s="46">
        <f t="shared" si="4"/>
        <v>-41528.684950734219</v>
      </c>
      <c r="R6" s="46">
        <f t="shared" si="4"/>
        <v>-41528.684950734219</v>
      </c>
      <c r="S6" s="46">
        <f t="shared" si="4"/>
        <v>-41528.684950734219</v>
      </c>
      <c r="T6" s="46">
        <f t="shared" si="4"/>
        <v>-41528.684950734219</v>
      </c>
      <c r="U6" s="46">
        <f t="shared" si="4"/>
        <v>-41528.684950734219</v>
      </c>
      <c r="V6" s="46">
        <f t="shared" si="4"/>
        <v>-41528.684950734219</v>
      </c>
      <c r="W6" s="46">
        <f t="shared" si="4"/>
        <v>-41528.684950734219</v>
      </c>
      <c r="X6" s="46">
        <f t="shared" si="4"/>
        <v>-41528.684950734219</v>
      </c>
      <c r="Y6" s="46">
        <f t="shared" si="4"/>
        <v>-41528.684950734219</v>
      </c>
      <c r="Z6" s="46">
        <f t="shared" si="4"/>
        <v>-41528.684950734219</v>
      </c>
      <c r="AA6" s="46">
        <f t="shared" si="4"/>
        <v>-41528.684950734219</v>
      </c>
      <c r="AB6" s="46">
        <f t="shared" si="4"/>
        <v>-41528.684950734219</v>
      </c>
      <c r="AC6" s="46">
        <f t="shared" si="4"/>
        <v>-41528.684950734219</v>
      </c>
      <c r="AD6" s="46">
        <f t="shared" si="4"/>
        <v>-41528.684950734219</v>
      </c>
      <c r="AE6" s="46">
        <f t="shared" si="4"/>
        <v>-41528.684950734219</v>
      </c>
      <c r="AF6" s="46">
        <f t="shared" si="4"/>
        <v>-41528.684950734219</v>
      </c>
      <c r="AG6" s="46">
        <f t="shared" si="4"/>
        <v>-41528.684950734219</v>
      </c>
      <c r="AH6" s="46">
        <f t="shared" si="4"/>
        <v>-41528.684950734219</v>
      </c>
      <c r="AI6" s="46">
        <f t="shared" si="4"/>
        <v>-41528.684950734219</v>
      </c>
      <c r="AJ6" s="46">
        <f t="shared" si="4"/>
        <v>-41528.684950734219</v>
      </c>
      <c r="AK6" s="46">
        <f t="shared" si="4"/>
        <v>-41528.684950734219</v>
      </c>
      <c r="AL6" s="46">
        <f t="shared" ref="AL6:BL6" si="5">AK6</f>
        <v>-41528.684950734219</v>
      </c>
      <c r="AM6" s="46">
        <f t="shared" si="5"/>
        <v>-41528.684950734219</v>
      </c>
      <c r="AN6" s="46">
        <f t="shared" si="5"/>
        <v>-41528.684950734219</v>
      </c>
      <c r="AO6" s="46">
        <f t="shared" si="5"/>
        <v>-41528.684950734219</v>
      </c>
      <c r="AP6" s="46">
        <f t="shared" si="5"/>
        <v>-41528.684950734219</v>
      </c>
      <c r="AQ6" s="46">
        <f t="shared" si="5"/>
        <v>-41528.684950734219</v>
      </c>
      <c r="AR6" s="46">
        <f t="shared" si="5"/>
        <v>-41528.684950734219</v>
      </c>
      <c r="AS6" s="46">
        <f t="shared" si="5"/>
        <v>-41528.684950734219</v>
      </c>
      <c r="AT6" s="46">
        <f t="shared" si="5"/>
        <v>-41528.684950734219</v>
      </c>
      <c r="AU6" s="46">
        <f t="shared" si="5"/>
        <v>-41528.684950734219</v>
      </c>
      <c r="AV6" s="46">
        <f t="shared" si="5"/>
        <v>-41528.684950734219</v>
      </c>
      <c r="AW6" s="46">
        <f t="shared" si="5"/>
        <v>-41528.684950734219</v>
      </c>
      <c r="AX6" s="46">
        <f t="shared" si="5"/>
        <v>-41528.684950734219</v>
      </c>
      <c r="AY6" s="46">
        <f t="shared" si="5"/>
        <v>-41528.684950734219</v>
      </c>
      <c r="AZ6" s="46">
        <f t="shared" si="5"/>
        <v>-41528.684950734219</v>
      </c>
      <c r="BA6" s="46">
        <f t="shared" si="5"/>
        <v>-41528.684950734219</v>
      </c>
      <c r="BB6" s="46">
        <f t="shared" si="5"/>
        <v>-41528.684950734219</v>
      </c>
      <c r="BC6" s="46">
        <f t="shared" si="5"/>
        <v>-41528.684950734219</v>
      </c>
      <c r="BD6" s="46">
        <f t="shared" si="5"/>
        <v>-41528.684950734219</v>
      </c>
      <c r="BE6" s="46">
        <f t="shared" si="5"/>
        <v>-41528.684950734219</v>
      </c>
      <c r="BF6" s="46">
        <f t="shared" si="5"/>
        <v>-41528.684950734219</v>
      </c>
      <c r="BG6" s="46">
        <f t="shared" si="5"/>
        <v>-41528.684950734219</v>
      </c>
      <c r="BH6" s="46">
        <f t="shared" si="5"/>
        <v>-41528.684950734219</v>
      </c>
      <c r="BI6" s="46">
        <f t="shared" si="5"/>
        <v>-41528.684950734219</v>
      </c>
      <c r="BJ6" s="46">
        <f t="shared" si="5"/>
        <v>-41528.684950734219</v>
      </c>
      <c r="BK6" s="46">
        <f t="shared" si="5"/>
        <v>-41528.684950734219</v>
      </c>
      <c r="BL6" s="46">
        <f t="shared" si="5"/>
        <v>-41528.684950734219</v>
      </c>
      <c r="BM6" s="46"/>
      <c r="BN6" s="46"/>
      <c r="BO6" s="46"/>
    </row>
    <row r="7" spans="1:247" x14ac:dyDescent="0.25">
      <c r="A7" s="57" t="s">
        <v>330</v>
      </c>
      <c r="B7" s="46"/>
      <c r="C7" s="46"/>
      <c r="D7" s="46"/>
      <c r="E7" s="46">
        <v>14</v>
      </c>
      <c r="F7" s="46">
        <v>30</v>
      </c>
      <c r="G7" s="46">
        <v>31</v>
      </c>
      <c r="H7" s="46">
        <v>31</v>
      </c>
      <c r="I7" s="46">
        <v>29</v>
      </c>
      <c r="J7" s="46">
        <v>31</v>
      </c>
      <c r="K7" s="46">
        <v>13</v>
      </c>
      <c r="L7" s="46"/>
      <c r="M7" s="46"/>
      <c r="N7" s="46"/>
      <c r="O7" s="46"/>
      <c r="P7" s="46"/>
      <c r="Q7" s="46">
        <v>14</v>
      </c>
      <c r="R7" s="46">
        <v>30</v>
      </c>
      <c r="S7" s="46">
        <v>31</v>
      </c>
      <c r="T7" s="46">
        <v>31</v>
      </c>
      <c r="U7" s="46">
        <v>28</v>
      </c>
      <c r="V7" s="46">
        <v>31</v>
      </c>
      <c r="W7" s="46">
        <v>14</v>
      </c>
      <c r="X7" s="46"/>
      <c r="Y7" s="46"/>
      <c r="Z7" s="46"/>
      <c r="AA7" s="46"/>
      <c r="AB7" s="46"/>
      <c r="AC7" s="46">
        <v>14</v>
      </c>
      <c r="AD7" s="46">
        <v>30</v>
      </c>
      <c r="AE7" s="46">
        <v>31</v>
      </c>
      <c r="AF7" s="46">
        <v>31</v>
      </c>
      <c r="AG7" s="46">
        <v>28</v>
      </c>
      <c r="AH7" s="46">
        <v>31</v>
      </c>
      <c r="AI7" s="46">
        <v>14</v>
      </c>
      <c r="AJ7" s="46"/>
      <c r="AK7" s="46"/>
      <c r="AL7" s="46"/>
      <c r="AM7" s="46"/>
      <c r="AN7" s="46"/>
      <c r="AO7" s="46">
        <v>14</v>
      </c>
      <c r="AP7" s="46">
        <v>30</v>
      </c>
      <c r="AQ7" s="46">
        <v>31</v>
      </c>
      <c r="AR7" s="46">
        <v>31</v>
      </c>
      <c r="AS7" s="46">
        <v>28</v>
      </c>
      <c r="AT7" s="46">
        <v>31</v>
      </c>
      <c r="AU7" s="46">
        <v>14</v>
      </c>
      <c r="AV7" s="46"/>
      <c r="AW7" s="46"/>
      <c r="AX7" s="46"/>
      <c r="AY7" s="46"/>
      <c r="AZ7" s="46"/>
      <c r="BA7" s="46">
        <v>14</v>
      </c>
      <c r="BB7" s="46">
        <v>30</v>
      </c>
      <c r="BC7" s="46">
        <v>31</v>
      </c>
      <c r="BD7" s="46">
        <v>31</v>
      </c>
      <c r="BE7" s="46">
        <v>29</v>
      </c>
      <c r="BF7" s="46">
        <v>31</v>
      </c>
      <c r="BG7" s="46">
        <v>13</v>
      </c>
      <c r="BH7" s="46"/>
      <c r="BI7" s="46"/>
      <c r="BJ7" s="46"/>
      <c r="BK7" s="46"/>
      <c r="BL7" s="46"/>
      <c r="BM7" s="46">
        <v>14</v>
      </c>
      <c r="BN7" s="46">
        <v>30</v>
      </c>
      <c r="BO7" s="46">
        <v>31</v>
      </c>
      <c r="BP7" s="46">
        <v>31</v>
      </c>
      <c r="BQ7" s="46">
        <v>29</v>
      </c>
      <c r="BR7" s="46">
        <v>31</v>
      </c>
      <c r="BS7" s="46">
        <v>13</v>
      </c>
      <c r="BY7" s="46">
        <v>14</v>
      </c>
      <c r="BZ7" s="46">
        <v>30</v>
      </c>
      <c r="CA7" s="46">
        <v>31</v>
      </c>
      <c r="CB7" s="46">
        <v>31</v>
      </c>
      <c r="CC7" s="46">
        <v>29</v>
      </c>
      <c r="CD7" s="46">
        <v>31</v>
      </c>
      <c r="CE7" s="46">
        <v>13</v>
      </c>
      <c r="CK7" s="46">
        <v>14</v>
      </c>
      <c r="CL7" s="46">
        <v>30</v>
      </c>
      <c r="CM7" s="46">
        <v>31</v>
      </c>
      <c r="CN7" s="46">
        <v>31</v>
      </c>
      <c r="CO7" s="46">
        <v>29</v>
      </c>
      <c r="CP7" s="46">
        <v>31</v>
      </c>
      <c r="CQ7" s="46">
        <v>13</v>
      </c>
      <c r="CW7" s="46">
        <v>14</v>
      </c>
      <c r="CX7" s="46">
        <v>30</v>
      </c>
      <c r="CY7" s="46">
        <v>31</v>
      </c>
      <c r="CZ7" s="46">
        <v>31</v>
      </c>
      <c r="DA7" s="46">
        <v>29</v>
      </c>
      <c r="DB7" s="46">
        <v>31</v>
      </c>
      <c r="DC7" s="46">
        <v>13</v>
      </c>
      <c r="DI7" s="46">
        <v>14</v>
      </c>
      <c r="DJ7" s="46">
        <v>30</v>
      </c>
      <c r="DK7" s="46">
        <v>31</v>
      </c>
      <c r="DL7" s="46">
        <v>31</v>
      </c>
      <c r="DM7" s="46">
        <v>29</v>
      </c>
      <c r="DN7" s="46">
        <v>31</v>
      </c>
      <c r="DO7" s="46">
        <v>13</v>
      </c>
      <c r="DU7" s="46">
        <v>14</v>
      </c>
      <c r="DV7" s="46">
        <v>30</v>
      </c>
      <c r="DW7" s="46">
        <v>31</v>
      </c>
      <c r="DX7" s="46">
        <v>31</v>
      </c>
      <c r="DY7" s="46">
        <v>29</v>
      </c>
      <c r="DZ7" s="46">
        <v>31</v>
      </c>
      <c r="EA7" s="46">
        <v>13</v>
      </c>
      <c r="EG7" s="46">
        <v>14</v>
      </c>
      <c r="EH7" s="46">
        <v>30</v>
      </c>
      <c r="EI7" s="46">
        <v>31</v>
      </c>
      <c r="EJ7" s="46">
        <v>31</v>
      </c>
      <c r="EK7" s="46">
        <v>29</v>
      </c>
      <c r="EL7" s="46">
        <v>31</v>
      </c>
      <c r="EM7" s="46">
        <v>13</v>
      </c>
      <c r="ES7" s="46">
        <v>14</v>
      </c>
      <c r="ET7" s="46">
        <v>30</v>
      </c>
      <c r="EU7" s="46">
        <v>31</v>
      </c>
      <c r="EV7" s="46">
        <v>31</v>
      </c>
      <c r="EW7" s="46">
        <v>29</v>
      </c>
      <c r="EX7" s="46">
        <v>31</v>
      </c>
      <c r="EY7" s="46">
        <v>13</v>
      </c>
      <c r="FE7" s="46">
        <v>14</v>
      </c>
      <c r="FF7" s="46">
        <v>30</v>
      </c>
      <c r="FG7" s="46">
        <v>31</v>
      </c>
      <c r="FH7" s="46">
        <v>31</v>
      </c>
      <c r="FI7" s="46">
        <v>29</v>
      </c>
      <c r="FJ7" s="46">
        <v>31</v>
      </c>
      <c r="FK7" s="46">
        <v>13</v>
      </c>
      <c r="FQ7" s="46">
        <v>14</v>
      </c>
      <c r="FR7" s="46">
        <v>30</v>
      </c>
      <c r="FS7" s="46">
        <v>31</v>
      </c>
      <c r="FT7" s="46">
        <v>31</v>
      </c>
      <c r="FU7" s="46">
        <v>29</v>
      </c>
      <c r="FV7" s="46">
        <v>31</v>
      </c>
      <c r="FW7" s="46">
        <v>13</v>
      </c>
      <c r="GC7" s="46">
        <v>14</v>
      </c>
      <c r="GD7" s="46">
        <v>30</v>
      </c>
      <c r="GE7" s="46">
        <v>31</v>
      </c>
      <c r="GF7" s="46">
        <v>31</v>
      </c>
      <c r="GG7" s="46">
        <v>29</v>
      </c>
      <c r="GH7" s="46">
        <v>31</v>
      </c>
      <c r="GI7" s="46">
        <v>13</v>
      </c>
      <c r="GO7" s="46">
        <v>14</v>
      </c>
      <c r="GP7" s="46">
        <v>30</v>
      </c>
      <c r="GQ7" s="46">
        <v>31</v>
      </c>
      <c r="GR7" s="46">
        <v>31</v>
      </c>
      <c r="GS7" s="46">
        <v>29</v>
      </c>
      <c r="GT7" s="46">
        <v>31</v>
      </c>
      <c r="GU7" s="46">
        <v>13</v>
      </c>
      <c r="HA7" s="46">
        <v>14</v>
      </c>
      <c r="HB7" s="46">
        <v>30</v>
      </c>
      <c r="HC7" s="46">
        <v>31</v>
      </c>
      <c r="HD7" s="46">
        <v>31</v>
      </c>
      <c r="HE7" s="46">
        <v>29</v>
      </c>
      <c r="HF7" s="46">
        <v>31</v>
      </c>
      <c r="HG7" s="46">
        <v>13</v>
      </c>
      <c r="HM7" s="46">
        <v>14</v>
      </c>
      <c r="HN7" s="46">
        <v>30</v>
      </c>
      <c r="HO7" s="46">
        <v>31</v>
      </c>
      <c r="HP7" s="46">
        <v>31</v>
      </c>
      <c r="HQ7" s="46">
        <v>29</v>
      </c>
      <c r="HR7" s="46">
        <v>31</v>
      </c>
      <c r="HS7" s="46">
        <v>13</v>
      </c>
      <c r="HY7" s="46">
        <v>14</v>
      </c>
      <c r="HZ7" s="46">
        <v>30</v>
      </c>
      <c r="IA7" s="46">
        <v>31</v>
      </c>
      <c r="IB7" s="46">
        <v>31</v>
      </c>
      <c r="IC7" s="46">
        <v>29</v>
      </c>
      <c r="ID7" s="46">
        <v>31</v>
      </c>
      <c r="IE7" s="46">
        <v>13</v>
      </c>
    </row>
    <row r="8" spans="1:247" ht="30" x14ac:dyDescent="0.25">
      <c r="A8" s="57" t="s">
        <v>329</v>
      </c>
      <c r="B8" s="46"/>
      <c r="C8" s="46"/>
      <c r="D8" s="46"/>
      <c r="E8" s="46">
        <f>-'Вхідні дані'!$B$2/'Вхідні дані'!$B$42*'Фінансовий потік'!E7*'Вхідні дані'!$B$7</f>
        <v>-40678.111587982836</v>
      </c>
      <c r="F8" s="46">
        <f>-'Вхідні дані'!$B$2/'Вхідні дані'!$B$42*'Фінансовий потік'!F7*'Вхідні дані'!$B$7</f>
        <v>-87167.381974248929</v>
      </c>
      <c r="G8" s="46">
        <f>-'Вхідні дані'!$B$2/'Вхідні дані'!$B$42*'Фінансовий потік'!G7*'Вхідні дані'!$B$7</f>
        <v>-90072.961373390557</v>
      </c>
      <c r="H8" s="46">
        <f>-'Вхідні дані'!$B$2/'Вхідні дані'!$B$42*'Фінансовий потік'!H7*'Вхідні дані'!$B$7</f>
        <v>-90072.961373390557</v>
      </c>
      <c r="I8" s="46">
        <f>-'Вхідні дані'!$B$2/'Вхідні дані'!$B$42*'Фінансовий потік'!I7*'Вхідні дані'!$B$7</f>
        <v>-84261.8025751073</v>
      </c>
      <c r="J8" s="46">
        <f>-'Вхідні дані'!$B$2/'Вхідні дані'!$B$42*'Фінансовий потік'!J7*'Вхідні дані'!$B$7</f>
        <v>-90072.961373390557</v>
      </c>
      <c r="K8" s="46">
        <f>-'Вхідні дані'!$B$2/'Вхідні дані'!$B$42*'Фінансовий потік'!K7*'Вхідні дані'!$B$7</f>
        <v>-37772.532188841207</v>
      </c>
      <c r="L8" s="46">
        <f>-'Вхідні дані'!$B$2/'Вхідні дані'!$B$42*'Фінансовий потік'!L7*'Вхідні дані'!$B$7</f>
        <v>0</v>
      </c>
      <c r="M8" s="46">
        <f>-'Вхідні дані'!$B$2/'Вхідні дані'!$B$42*'Фінансовий потік'!M7*'Вхідні дані'!$B$7</f>
        <v>0</v>
      </c>
      <c r="N8" s="46">
        <f>-'Вхідні дані'!$B$2/'Вхідні дані'!$B$42*'Фінансовий потік'!N7*'Вхідні дані'!$B$7</f>
        <v>0</v>
      </c>
      <c r="O8" s="46">
        <f>-'Вхідні дані'!$B$2/'Вхідні дані'!$B$42*'Фінансовий потік'!O7*'Вхідні дані'!$B$7</f>
        <v>0</v>
      </c>
      <c r="P8" s="46">
        <f>-'Вхідні дані'!$B$2/'Вхідні дані'!$B$42*'Фінансовий потік'!P7*'Вхідні дані'!$B$7</f>
        <v>0</v>
      </c>
      <c r="Q8" s="46">
        <f>-'Вхідні дані'!$B$2/'Вхідні дані'!$B$42*'Фінансовий потік'!Q7*'Вхідні дані'!$B$8</f>
        <v>-61017.16738197425</v>
      </c>
      <c r="R8" s="46">
        <f>-'Вхідні дані'!$B$2/'Вхідні дані'!$B$42*'Фінансовий потік'!R7*'Вхідні дані'!$B$8</f>
        <v>-130751.07296137339</v>
      </c>
      <c r="S8" s="46">
        <f>-'Вхідні дані'!$B$2/'Вхідні дані'!$B$42*'Фінансовий потік'!S7*'Вхідні дані'!$B$8</f>
        <v>-135109.44206008583</v>
      </c>
      <c r="T8" s="46">
        <f>-'Вхідні дані'!$B$2/'Вхідні дані'!$B$42*'Фінансовий потік'!T7*'Вхідні дані'!$B$8</f>
        <v>-135109.44206008583</v>
      </c>
      <c r="U8" s="46">
        <f>-'Вхідні дані'!$B$2/'Вхідні дані'!$B$42*'Фінансовий потік'!U7*'Вхідні дані'!$B$8</f>
        <v>-122034.3347639485</v>
      </c>
      <c r="V8" s="46">
        <f>-'Вхідні дані'!$B$2/'Вхідні дані'!$B$42*'Фінансовий потік'!V7*'Вхідні дані'!$B$8</f>
        <v>-135109.44206008583</v>
      </c>
      <c r="W8" s="46">
        <f>-'Вхідні дані'!$B$2/'Вхідні дані'!$B$42*'Фінансовий потік'!W7*'Вхідні дані'!$B$8</f>
        <v>-61017.16738197425</v>
      </c>
      <c r="X8" s="46">
        <f>-'Вхідні дані'!$B$2/'Вхідні дані'!$B$42*'Фінансовий потік'!X7*'Вхідні дані'!$B$8</f>
        <v>0</v>
      </c>
      <c r="Y8" s="46">
        <f>-'Вхідні дані'!$B$2/'Вхідні дані'!$B$42*'Фінансовий потік'!Y7*'Вхідні дані'!$B$8</f>
        <v>0</v>
      </c>
      <c r="Z8" s="46">
        <f>-'Вхідні дані'!$B$2/'Вхідні дані'!$B$42*'Фінансовий потік'!Z7*'Вхідні дані'!$B$8</f>
        <v>0</v>
      </c>
      <c r="AA8" s="46">
        <f>-'Вхідні дані'!$B$2/'Вхідні дані'!$B$42*'Фінансовий потік'!AA7*'Вхідні дані'!$B$8</f>
        <v>0</v>
      </c>
      <c r="AB8" s="46">
        <f>-'Вхідні дані'!$B$2/'Вхідні дані'!$B$42*'Фінансовий потік'!AB7*'Вхідні дані'!$B$8</f>
        <v>0</v>
      </c>
      <c r="AC8" s="46">
        <f>-'Вхідні дані'!$B$2/'Вхідні дані'!$B$42*'Фінансовий потік'!AC7*'Вхідні дані'!$B$9</f>
        <v>-91525.751072961371</v>
      </c>
      <c r="AD8" s="46">
        <f>-'Вхідні дані'!$B$2/'Вхідні дані'!$B$42*'Фінансовий потік'!AD7*'Вхідні дані'!$B$9</f>
        <v>-196126.60944206009</v>
      </c>
      <c r="AE8" s="46">
        <f>-'Вхідні дані'!$B$2/'Вхідні дані'!$B$42*'Фінансовий потік'!AE7*'Вхідні дані'!$B$9</f>
        <v>-202664.16309012874</v>
      </c>
      <c r="AF8" s="46">
        <f>-'Вхідні дані'!$B$2/'Вхідні дані'!$B$42*'Фінансовий потік'!AF7*'Вхідні дані'!$B$9</f>
        <v>-202664.16309012874</v>
      </c>
      <c r="AG8" s="46">
        <f>-'Вхідні дані'!$B$2/'Вхідні дані'!$B$42*'Фінансовий потік'!AG7*'Вхідні дані'!$B$9</f>
        <v>-183051.50214592274</v>
      </c>
      <c r="AH8" s="46">
        <f>-'Вхідні дані'!$B$2/'Вхідні дані'!$B$42*'Фінансовий потік'!AH7*'Вхідні дані'!$B$9</f>
        <v>-202664.16309012874</v>
      </c>
      <c r="AI8" s="46">
        <f>-'Вхідні дані'!$B$2/'Вхідні дані'!$B$42*'Фінансовий потік'!AI7*'Вхідні дані'!$B$9</f>
        <v>-91525.751072961371</v>
      </c>
      <c r="AJ8" s="46">
        <f>-'Вхідні дані'!$B$2/'Вхідні дані'!$B$42*'Фінансовий потік'!AJ7*'Вхідні дані'!$B$9</f>
        <v>0</v>
      </c>
      <c r="AK8" s="46">
        <f>-'Вхідні дані'!$B$2/'Вхідні дані'!$B$42*'Фінансовий потік'!AK7*'Вхідні дані'!$B$9</f>
        <v>0</v>
      </c>
      <c r="AL8" s="46">
        <f>-'Вхідні дані'!$B$2/'Вхідні дані'!$B$42*'Фінансовий потік'!AL7*'Вхідні дані'!$B$9</f>
        <v>0</v>
      </c>
      <c r="AM8" s="46">
        <f>-'Вхідні дані'!$B$2/'Вхідні дані'!$B$42*'Фінансовий потік'!AM7*'Вхідні дані'!$B$9</f>
        <v>0</v>
      </c>
      <c r="AN8" s="46">
        <f>-'Вхідні дані'!$B$2/'Вхідні дані'!$B$42*'Фінансовий потік'!AN7*'Вхідні дані'!$B$9</f>
        <v>0</v>
      </c>
      <c r="AO8" s="46">
        <f>-'Вхідні дані'!$B$2/'Вхідні дані'!$B$42*'Фінансовий потік'!AO7*'Вхідні дані'!$B$9</f>
        <v>-91525.751072961371</v>
      </c>
      <c r="AP8" s="46">
        <f>-'Вхідні дані'!$B$2/'Вхідні дані'!$B$42*'Фінансовий потік'!AP7*'Вхідні дані'!$B$9</f>
        <v>-196126.60944206009</v>
      </c>
      <c r="AQ8" s="46">
        <f>-'Вхідні дані'!$B$2/'Вхідні дані'!$B$42*'Фінансовий потік'!AQ7*'Вхідні дані'!$B$9</f>
        <v>-202664.16309012874</v>
      </c>
      <c r="AR8" s="46">
        <f>-'Вхідні дані'!$B$2/'Вхідні дані'!$B$42*'Фінансовий потік'!AR7*'Вхідні дані'!$B$9</f>
        <v>-202664.16309012874</v>
      </c>
      <c r="AS8" s="46">
        <f>-'Вхідні дані'!$B$2/'Вхідні дані'!$B$42*'Фінансовий потік'!AS7*'Вхідні дані'!$B$9</f>
        <v>-183051.50214592274</v>
      </c>
      <c r="AT8" s="46">
        <f>-'Вхідні дані'!$B$2/'Вхідні дані'!$B$42*'Фінансовий потік'!AT7*'Вхідні дані'!$B$9</f>
        <v>-202664.16309012874</v>
      </c>
      <c r="AU8" s="46">
        <f>-'Вхідні дані'!$B$2/'Вхідні дані'!$B$42*'Фінансовий потік'!AU7*'Вхідні дані'!$B$9</f>
        <v>-91525.751072961371</v>
      </c>
      <c r="AV8" s="46">
        <f>-'Вхідні дані'!$B$2/'Вхідні дані'!$B$42*'Фінансовий потік'!AV7*'Вхідні дані'!$B$9</f>
        <v>0</v>
      </c>
      <c r="AW8" s="46">
        <f>-'Вхідні дані'!$B$2/'Вхідні дані'!$B$42*'Фінансовий потік'!AW7*'Вхідні дані'!$B$9</f>
        <v>0</v>
      </c>
      <c r="AX8" s="46">
        <f>-'Вхідні дані'!$B$2/'Вхідні дані'!$B$42*'Фінансовий потік'!AX7*'Вхідні дані'!$B$9</f>
        <v>0</v>
      </c>
      <c r="AY8" s="46">
        <f>-'Вхідні дані'!$B$2/'Вхідні дані'!$B$42*'Фінансовий потік'!AY7*'Вхідні дані'!$B$9</f>
        <v>0</v>
      </c>
      <c r="AZ8" s="46">
        <f>-'Вхідні дані'!$B$2/'Вхідні дані'!$B$42*'Фінансовий потік'!AZ7*'Вхідні дані'!$B$9</f>
        <v>0</v>
      </c>
      <c r="BA8" s="46">
        <f>-'Вхідні дані'!$B$2/'Вхідні дані'!$B$42*'Фінансовий потік'!BA7*'Вхідні дані'!$B$9</f>
        <v>-91525.751072961371</v>
      </c>
      <c r="BB8" s="46">
        <f>-'Вхідні дані'!$B$2/'Вхідні дані'!$B$42*'Фінансовий потік'!BB7*'Вхідні дані'!$B$9</f>
        <v>-196126.60944206009</v>
      </c>
      <c r="BC8" s="46">
        <f>-'Вхідні дані'!$B$2/'Вхідні дані'!$B$42*'Фінансовий потік'!BC7*'Вхідні дані'!$B$9</f>
        <v>-202664.16309012874</v>
      </c>
      <c r="BD8" s="46">
        <f>-'Вхідні дані'!$B$2/'Вхідні дані'!$B$42*'Фінансовий потік'!BD7*'Вхідні дані'!$B$9</f>
        <v>-202664.16309012874</v>
      </c>
      <c r="BE8" s="46">
        <f>-'Вхідні дані'!$B$2/'Вхідні дані'!$B$42*'Фінансовий потік'!BE7*'Вхідні дані'!$B$9</f>
        <v>-189589.0557939914</v>
      </c>
      <c r="BF8" s="46">
        <f>-'Вхідні дані'!$B$2/'Вхідні дані'!$B$42*'Фінансовий потік'!BF7*'Вхідні дані'!$B$9</f>
        <v>-202664.16309012874</v>
      </c>
      <c r="BG8" s="46">
        <f>-'Вхідні дані'!$B$2/'Вхідні дані'!$B$42*'Фінансовий потік'!BG7*'Вхідні дані'!$B$9</f>
        <v>-84988.1974248927</v>
      </c>
      <c r="BH8" s="46">
        <f>-'Вхідні дані'!$B$2/'Вхідні дані'!$B$42*'Фінансовий потік'!BH7*'Вхідні дані'!$B$9</f>
        <v>0</v>
      </c>
      <c r="BI8" s="46">
        <f>-'Вхідні дані'!$B$2/'Вхідні дані'!$B$42*'Фінансовий потік'!BI7*'Вхідні дані'!$B$9</f>
        <v>0</v>
      </c>
      <c r="BJ8" s="46">
        <f>-'Вхідні дані'!$B$2/'Вхідні дані'!$B$42*'Фінансовий потік'!BJ7*'Вхідні дані'!$B$9</f>
        <v>0</v>
      </c>
      <c r="BK8" s="46">
        <f>-'Вхідні дані'!$B$2/'Вхідні дані'!$B$42*'Фінансовий потік'!BK7*'Вхідні дані'!$B$9</f>
        <v>0</v>
      </c>
      <c r="BL8" s="46">
        <f>-'Вхідні дані'!$B$2/'Вхідні дані'!$B$42*'Фінансовий потік'!BL7*'Вхідні дані'!$B$9</f>
        <v>0</v>
      </c>
      <c r="BM8" s="46">
        <f>-'Вхідні дані'!$B$2/'Вхідні дані'!$B$42*'Фінансовий потік'!BM7*'Вхідні дані'!$B$9</f>
        <v>-91525.751072961371</v>
      </c>
      <c r="BN8" s="46">
        <f>-'Вхідні дані'!$B$2/'Вхідні дані'!$B$42*'Фінансовий потік'!BN7*'Вхідні дані'!$B$9</f>
        <v>-196126.60944206009</v>
      </c>
      <c r="BO8" s="46">
        <f>-'Вхідні дані'!$B$2/'Вхідні дані'!$B$42*'Фінансовий потік'!BO7*'Вхідні дані'!$B$9</f>
        <v>-202664.16309012874</v>
      </c>
      <c r="BP8" s="46">
        <f>-'Вхідні дані'!$B$2/'Вхідні дані'!$B$42*'Фінансовий потік'!BP7*'Вхідні дані'!$B$9</f>
        <v>-202664.16309012874</v>
      </c>
      <c r="BQ8" s="46">
        <f>-'Вхідні дані'!$B$2/'Вхідні дані'!$B$42*'Фінансовий потік'!BQ7*'Вхідні дані'!$B$9</f>
        <v>-189589.0557939914</v>
      </c>
      <c r="BR8" s="46">
        <f>-'Вхідні дані'!$B$2/'Вхідні дані'!$B$42*'Фінансовий потік'!BR7*'Вхідні дані'!$B$9</f>
        <v>-202664.16309012874</v>
      </c>
      <c r="BS8" s="46">
        <f>-'Вхідні дані'!$B$2/'Вхідні дані'!$B$42*'Фінансовий потік'!BS7*'Вхідні дані'!$B$9</f>
        <v>-84988.1974248927</v>
      </c>
      <c r="BT8" s="46">
        <f>-'Вхідні дані'!$B$2/'Вхідні дані'!$B$42*'Фінансовий потік'!BT7*'Вхідні дані'!$B$9</f>
        <v>0</v>
      </c>
      <c r="BU8" s="46">
        <f>-'Вхідні дані'!$B$2/'Вхідні дані'!$B$42*'Фінансовий потік'!BU7*'Вхідні дані'!$B$9</f>
        <v>0</v>
      </c>
      <c r="BV8" s="46">
        <f>-'Вхідні дані'!$B$2/'Вхідні дані'!$B$42*'Фінансовий потік'!BV7*'Вхідні дані'!$B$9</f>
        <v>0</v>
      </c>
      <c r="BW8" s="46">
        <f>-'Вхідні дані'!$B$2/'Вхідні дані'!$B$42*'Фінансовий потік'!BW7*'Вхідні дані'!$B$9</f>
        <v>0</v>
      </c>
      <c r="BX8" s="46">
        <f>-'Вхідні дані'!$B$2/'Вхідні дані'!$B$42*'Фінансовий потік'!BX7*'Вхідні дані'!$B$9</f>
        <v>0</v>
      </c>
      <c r="BY8" s="46">
        <f>-'Вхідні дані'!$B$2/'Вхідні дані'!$B$42*'Фінансовий потік'!BY7*'Вхідні дані'!$B$9</f>
        <v>-91525.751072961371</v>
      </c>
      <c r="BZ8" s="46">
        <f>-'Вхідні дані'!$B$2/'Вхідні дані'!$B$42*'Фінансовий потік'!BZ7*'Вхідні дані'!$B$9</f>
        <v>-196126.60944206009</v>
      </c>
      <c r="CA8" s="46">
        <f>-'Вхідні дані'!$B$2/'Вхідні дані'!$B$42*'Фінансовий потік'!CA7*'Вхідні дані'!$B$9</f>
        <v>-202664.16309012874</v>
      </c>
      <c r="CB8" s="46">
        <f>-'Вхідні дані'!$B$2/'Вхідні дані'!$B$42*'Фінансовий потік'!CB7*'Вхідні дані'!$B$9</f>
        <v>-202664.16309012874</v>
      </c>
      <c r="CC8" s="46">
        <f>-'Вхідні дані'!$B$2/'Вхідні дані'!$B$42*'Фінансовий потік'!CC7*'Вхідні дані'!$B$9</f>
        <v>-189589.0557939914</v>
      </c>
      <c r="CD8" s="46">
        <f>-'Вхідні дані'!$B$2/'Вхідні дані'!$B$42*'Фінансовий потік'!CD7*'Вхідні дані'!$B$9</f>
        <v>-202664.16309012874</v>
      </c>
      <c r="CE8" s="46">
        <f>-'Вхідні дані'!$B$2/'Вхідні дані'!$B$42*'Фінансовий потік'!CE7*'Вхідні дані'!$B$9</f>
        <v>-84988.1974248927</v>
      </c>
      <c r="CF8" s="46">
        <f>-'Вхідні дані'!$B$2/'Вхідні дані'!$B$42*'Фінансовий потік'!CF7*'Вхідні дані'!$B$9</f>
        <v>0</v>
      </c>
      <c r="CG8" s="46">
        <f>-'Вхідні дані'!$B$2/'Вхідні дані'!$B$42*'Фінансовий потік'!CG7*'Вхідні дані'!$B$9</f>
        <v>0</v>
      </c>
      <c r="CH8" s="46">
        <f>-'Вхідні дані'!$B$2/'Вхідні дані'!$B$42*'Фінансовий потік'!CH7*'Вхідні дані'!$B$9</f>
        <v>0</v>
      </c>
      <c r="CI8" s="46">
        <f>-'Вхідні дані'!$B$2/'Вхідні дані'!$B$42*'Фінансовий потік'!CI7*'Вхідні дані'!$B$9</f>
        <v>0</v>
      </c>
      <c r="CJ8" s="46">
        <f>-'Вхідні дані'!$B$2/'Вхідні дані'!$B$42*'Фінансовий потік'!CJ7*'Вхідні дані'!$B$9</f>
        <v>0</v>
      </c>
      <c r="CK8" s="46">
        <f>-'Вхідні дані'!$B$2/'Вхідні дані'!$B$42*'Фінансовий потік'!CK7*'Вхідні дані'!$B$9</f>
        <v>-91525.751072961371</v>
      </c>
      <c r="CL8" s="46">
        <f>-'Вхідні дані'!$B$2/'Вхідні дані'!$B$42*'Фінансовий потік'!CL7*'Вхідні дані'!$B$9</f>
        <v>-196126.60944206009</v>
      </c>
      <c r="CM8" s="46">
        <f>-'Вхідні дані'!$B$2/'Вхідні дані'!$B$42*'Фінансовий потік'!CM7*'Вхідні дані'!$B$9</f>
        <v>-202664.16309012874</v>
      </c>
      <c r="CN8" s="46">
        <f>-'Вхідні дані'!$B$2/'Вхідні дані'!$B$42*'Фінансовий потік'!CN7*'Вхідні дані'!$B$9</f>
        <v>-202664.16309012874</v>
      </c>
      <c r="CO8" s="46">
        <f>-'Вхідні дані'!$B$2/'Вхідні дані'!$B$42*'Фінансовий потік'!CO7*'Вхідні дані'!$B$9</f>
        <v>-189589.0557939914</v>
      </c>
      <c r="CP8" s="46">
        <f>-'Вхідні дані'!$B$2/'Вхідні дані'!$B$42*'Фінансовий потік'!CP7*'Вхідні дані'!$B$9</f>
        <v>-202664.16309012874</v>
      </c>
      <c r="CQ8" s="46">
        <f>-'Вхідні дані'!$B$2/'Вхідні дані'!$B$42*'Фінансовий потік'!CQ7*'Вхідні дані'!$B$9</f>
        <v>-84988.1974248927</v>
      </c>
      <c r="CR8" s="46">
        <f>-'Вхідні дані'!$B$2/'Вхідні дані'!$B$42*'Фінансовий потік'!CR7*'Вхідні дані'!$B$9</f>
        <v>0</v>
      </c>
      <c r="CS8" s="46">
        <f>-'Вхідні дані'!$B$2/'Вхідні дані'!$B$42*'Фінансовий потік'!CS7*'Вхідні дані'!$B$9</f>
        <v>0</v>
      </c>
      <c r="CT8" s="46">
        <f>-'Вхідні дані'!$B$2/'Вхідні дані'!$B$42*'Фінансовий потік'!CT7*'Вхідні дані'!$B$9</f>
        <v>0</v>
      </c>
      <c r="CU8" s="46">
        <f>-'Вхідні дані'!$B$2/'Вхідні дані'!$B$42*'Фінансовий потік'!CU7*'Вхідні дані'!$B$9</f>
        <v>0</v>
      </c>
      <c r="CV8" s="46">
        <f>-'Вхідні дані'!$B$2/'Вхідні дані'!$B$42*'Фінансовий потік'!CV7*'Вхідні дані'!$B$9</f>
        <v>0</v>
      </c>
      <c r="CW8" s="46">
        <f>-'Вхідні дані'!$B$2/'Вхідні дані'!$B$42*'Фінансовий потік'!CW7*'Вхідні дані'!$B$9</f>
        <v>-91525.751072961371</v>
      </c>
      <c r="CX8" s="46">
        <f>-'Вхідні дані'!$B$2/'Вхідні дані'!$B$42*'Фінансовий потік'!CX7*'Вхідні дані'!$B$9</f>
        <v>-196126.60944206009</v>
      </c>
      <c r="CY8" s="46">
        <f>-'Вхідні дані'!$B$2/'Вхідні дані'!$B$42*'Фінансовий потік'!CY7*'Вхідні дані'!$B$9</f>
        <v>-202664.16309012874</v>
      </c>
      <c r="CZ8" s="46">
        <f>-'Вхідні дані'!$B$2/'Вхідні дані'!$B$42*'Фінансовий потік'!CZ7*'Вхідні дані'!$B$9</f>
        <v>-202664.16309012874</v>
      </c>
      <c r="DA8" s="46">
        <f>-'Вхідні дані'!$B$2/'Вхідні дані'!$B$42*'Фінансовий потік'!DA7*'Вхідні дані'!$B$9</f>
        <v>-189589.0557939914</v>
      </c>
      <c r="DB8" s="46">
        <f>-'Вхідні дані'!$B$2/'Вхідні дані'!$B$42*'Фінансовий потік'!DB7*'Вхідні дані'!$B$9</f>
        <v>-202664.16309012874</v>
      </c>
      <c r="DC8" s="46">
        <f>-'Вхідні дані'!$B$2/'Вхідні дані'!$B$42*'Фінансовий потік'!DC7*'Вхідні дані'!$B$9</f>
        <v>-84988.1974248927</v>
      </c>
      <c r="DD8" s="46">
        <f>-'Вхідні дані'!$B$2/'Вхідні дані'!$B$42*'Фінансовий потік'!DD7*'Вхідні дані'!$B$9</f>
        <v>0</v>
      </c>
      <c r="DE8" s="46">
        <f>-'Вхідні дані'!$B$2/'Вхідні дані'!$B$42*'Фінансовий потік'!DE7*'Вхідні дані'!$B$9</f>
        <v>0</v>
      </c>
      <c r="DF8" s="46">
        <f>-'Вхідні дані'!$B$2/'Вхідні дані'!$B$42*'Фінансовий потік'!DF7*'Вхідні дані'!$B$9</f>
        <v>0</v>
      </c>
      <c r="DG8" s="46">
        <f>-'Вхідні дані'!$B$2/'Вхідні дані'!$B$42*'Фінансовий потік'!DG7*'Вхідні дані'!$B$9</f>
        <v>0</v>
      </c>
      <c r="DH8" s="46">
        <f>-'Вхідні дані'!$B$2/'Вхідні дані'!$B$42*'Фінансовий потік'!DH7*'Вхідні дані'!$B$9</f>
        <v>0</v>
      </c>
      <c r="DI8" s="46">
        <f>-'Вхідні дані'!$B$2/'Вхідні дані'!$B$42*'Фінансовий потік'!DI7*'Вхідні дані'!$B$9</f>
        <v>-91525.751072961371</v>
      </c>
      <c r="DJ8" s="46">
        <f>-'Вхідні дані'!$B$2/'Вхідні дані'!$B$42*'Фінансовий потік'!DJ7*'Вхідні дані'!$B$9</f>
        <v>-196126.60944206009</v>
      </c>
      <c r="DK8" s="46">
        <f>-'Вхідні дані'!$B$2/'Вхідні дані'!$B$42*'Фінансовий потік'!DK7*'Вхідні дані'!$B$9</f>
        <v>-202664.16309012874</v>
      </c>
      <c r="DL8" s="46">
        <f>-'Вхідні дані'!$B$2/'Вхідні дані'!$B$42*'Фінансовий потік'!DL7*'Вхідні дані'!$B$9</f>
        <v>-202664.16309012874</v>
      </c>
      <c r="DM8" s="46">
        <f>-'Вхідні дані'!$B$2/'Вхідні дані'!$B$42*'Фінансовий потік'!DM7*'Вхідні дані'!$B$9</f>
        <v>-189589.0557939914</v>
      </c>
      <c r="DN8" s="46">
        <f>-'Вхідні дані'!$B$2/'Вхідні дані'!$B$42*'Фінансовий потік'!DN7*'Вхідні дані'!$B$9</f>
        <v>-202664.16309012874</v>
      </c>
      <c r="DO8" s="46">
        <f>-'Вхідні дані'!$B$2/'Вхідні дані'!$B$42*'Фінансовий потік'!DO7*'Вхідні дані'!$B$9</f>
        <v>-84988.1974248927</v>
      </c>
      <c r="DP8" s="46">
        <f>-'Вхідні дані'!$B$2/'Вхідні дані'!$B$42*'Фінансовий потік'!DP7*'Вхідні дані'!$B$9</f>
        <v>0</v>
      </c>
      <c r="DQ8" s="46">
        <f>-'Вхідні дані'!$B$2/'Вхідні дані'!$B$42*'Фінансовий потік'!DQ7*'Вхідні дані'!$B$9</f>
        <v>0</v>
      </c>
      <c r="DR8" s="46">
        <f>-'Вхідні дані'!$B$2/'Вхідні дані'!$B$42*'Фінансовий потік'!DR7*'Вхідні дані'!$B$9</f>
        <v>0</v>
      </c>
      <c r="DS8" s="46">
        <f>-'Вхідні дані'!$B$2/'Вхідні дані'!$B$42*'Фінансовий потік'!DS7*'Вхідні дані'!$B$9</f>
        <v>0</v>
      </c>
      <c r="DT8" s="46">
        <f>-'Вхідні дані'!$B$2/'Вхідні дані'!$B$42*'Фінансовий потік'!DT7*'Вхідні дані'!$B$9</f>
        <v>0</v>
      </c>
      <c r="DU8" s="46">
        <f>-'Вхідні дані'!$B$2/'Вхідні дані'!$B$42*'Фінансовий потік'!DU7*'Вхідні дані'!$B$9</f>
        <v>-91525.751072961371</v>
      </c>
      <c r="DV8" s="46">
        <f>-'Вхідні дані'!$B$2/'Вхідні дані'!$B$42*'Фінансовий потік'!DV7*'Вхідні дані'!$B$9</f>
        <v>-196126.60944206009</v>
      </c>
      <c r="DW8" s="46">
        <f>-'Вхідні дані'!$B$2/'Вхідні дані'!$B$42*'Фінансовий потік'!DW7*'Вхідні дані'!$B$9</f>
        <v>-202664.16309012874</v>
      </c>
      <c r="DX8" s="46">
        <f>-'Вхідні дані'!$B$2/'Вхідні дані'!$B$42*'Фінансовий потік'!DX7*'Вхідні дані'!$B$9</f>
        <v>-202664.16309012874</v>
      </c>
      <c r="DY8" s="46">
        <f>-'Вхідні дані'!$B$2/'Вхідні дані'!$B$42*'Фінансовий потік'!DY7*'Вхідні дані'!$B$9</f>
        <v>-189589.0557939914</v>
      </c>
      <c r="DZ8" s="46">
        <f>-'Вхідні дані'!$B$2/'Вхідні дані'!$B$42*'Фінансовий потік'!DZ7*'Вхідні дані'!$B$9</f>
        <v>-202664.16309012874</v>
      </c>
      <c r="EA8" s="46">
        <f>-'Вхідні дані'!$B$2/'Вхідні дані'!$B$42*'Фінансовий потік'!EA7*'Вхідні дані'!$B$9</f>
        <v>-84988.1974248927</v>
      </c>
      <c r="EB8" s="46">
        <f>-'Вхідні дані'!$B$2/'Вхідні дані'!$B$42*'Фінансовий потік'!EB7*'Вхідні дані'!$B$9</f>
        <v>0</v>
      </c>
      <c r="EC8" s="46">
        <f>-'Вхідні дані'!$B$2/'Вхідні дані'!$B$42*'Фінансовий потік'!EC7*'Вхідні дані'!$B$9</f>
        <v>0</v>
      </c>
      <c r="ED8" s="46">
        <f>-'Вхідні дані'!$B$2/'Вхідні дані'!$B$42*'Фінансовий потік'!ED7*'Вхідні дані'!$B$9</f>
        <v>0</v>
      </c>
      <c r="EE8" s="46">
        <f>-'Вхідні дані'!$B$2/'Вхідні дані'!$B$42*'Фінансовий потік'!EE7*'Вхідні дані'!$B$9</f>
        <v>0</v>
      </c>
      <c r="EF8" s="46">
        <f>-'Вхідні дані'!$B$2/'Вхідні дані'!$B$42*'Фінансовий потік'!EF7*'Вхідні дані'!$B$9</f>
        <v>0</v>
      </c>
      <c r="EG8" s="46">
        <f>-'Вхідні дані'!$B$2/'Вхідні дані'!$B$42*'Фінансовий потік'!EG7*'Вхідні дані'!$B$9</f>
        <v>-91525.751072961371</v>
      </c>
      <c r="EH8" s="46">
        <f>-'Вхідні дані'!$B$2/'Вхідні дані'!$B$42*'Фінансовий потік'!EH7*'Вхідні дані'!$B$9</f>
        <v>-196126.60944206009</v>
      </c>
      <c r="EI8" s="46">
        <f>-'Вхідні дані'!$B$2/'Вхідні дані'!$B$42*'Фінансовий потік'!EI7*'Вхідні дані'!$B$9</f>
        <v>-202664.16309012874</v>
      </c>
      <c r="EJ8" s="46">
        <f>-'Вхідні дані'!$B$2/'Вхідні дані'!$B$42*'Фінансовий потік'!EJ7*'Вхідні дані'!$B$9</f>
        <v>-202664.16309012874</v>
      </c>
      <c r="EK8" s="46">
        <f>-'Вхідні дані'!$B$2/'Вхідні дані'!$B$42*'Фінансовий потік'!EK7*'Вхідні дані'!$B$9</f>
        <v>-189589.0557939914</v>
      </c>
      <c r="EL8" s="46">
        <f>-'Вхідні дані'!$B$2/'Вхідні дані'!$B$42*'Фінансовий потік'!EL7*'Вхідні дані'!$B$9</f>
        <v>-202664.16309012874</v>
      </c>
      <c r="EM8" s="46">
        <f>-'Вхідні дані'!$B$2/'Вхідні дані'!$B$42*'Фінансовий потік'!EM7*'Вхідні дані'!$B$9</f>
        <v>-84988.1974248927</v>
      </c>
      <c r="EN8" s="46">
        <f>-'Вхідні дані'!$B$2/'Вхідні дані'!$B$42*'Фінансовий потік'!EN7*'Вхідні дані'!$B$9</f>
        <v>0</v>
      </c>
      <c r="EO8" s="46">
        <f>-'Вхідні дані'!$B$2/'Вхідні дані'!$B$42*'Фінансовий потік'!EO7*'Вхідні дані'!$B$9</f>
        <v>0</v>
      </c>
      <c r="EP8" s="46">
        <f>-'Вхідні дані'!$B$2/'Вхідні дані'!$B$42*'Фінансовий потік'!EP7*'Вхідні дані'!$B$9</f>
        <v>0</v>
      </c>
      <c r="EQ8" s="46">
        <f>-'Вхідні дані'!$B$2/'Вхідні дані'!$B$42*'Фінансовий потік'!EQ7*'Вхідні дані'!$B$9</f>
        <v>0</v>
      </c>
      <c r="ER8" s="46">
        <f>-'Вхідні дані'!$B$2/'Вхідні дані'!$B$42*'Фінансовий потік'!ER7*'Вхідні дані'!$B$9</f>
        <v>0</v>
      </c>
      <c r="ES8" s="46">
        <f>-'Вхідні дані'!$B$2/'Вхідні дані'!$B$42*'Фінансовий потік'!ES7*'Вхідні дані'!$B$9</f>
        <v>-91525.751072961371</v>
      </c>
      <c r="ET8" s="46">
        <f>-'Вхідні дані'!$B$2/'Вхідні дані'!$B$42*'Фінансовий потік'!ET7*'Вхідні дані'!$B$9</f>
        <v>-196126.60944206009</v>
      </c>
      <c r="EU8" s="46">
        <f>-'Вхідні дані'!$B$2/'Вхідні дані'!$B$42*'Фінансовий потік'!EU7*'Вхідні дані'!$B$9</f>
        <v>-202664.16309012874</v>
      </c>
      <c r="EV8" s="46">
        <f>-'Вхідні дані'!$B$2/'Вхідні дані'!$B$42*'Фінансовий потік'!EV7*'Вхідні дані'!$B$9</f>
        <v>-202664.16309012874</v>
      </c>
      <c r="EW8" s="46">
        <f>-'Вхідні дані'!$B$2/'Вхідні дані'!$B$42*'Фінансовий потік'!EW7*'Вхідні дані'!$B$9</f>
        <v>-189589.0557939914</v>
      </c>
      <c r="EX8" s="46">
        <f>-'Вхідні дані'!$B$2/'Вхідні дані'!$B$42*'Фінансовий потік'!EX7*'Вхідні дані'!$B$9</f>
        <v>-202664.16309012874</v>
      </c>
      <c r="EY8" s="46">
        <f>-'Вхідні дані'!$B$2/'Вхідні дані'!$B$42*'Фінансовий потік'!EY7*'Вхідні дані'!$B$9</f>
        <v>-84988.1974248927</v>
      </c>
      <c r="EZ8" s="46">
        <f>-'Вхідні дані'!$B$2/'Вхідні дані'!$B$42*'Фінансовий потік'!EZ7*'Вхідні дані'!$B$9</f>
        <v>0</v>
      </c>
      <c r="FA8" s="46">
        <f>-'Вхідні дані'!$B$2/'Вхідні дані'!$B$42*'Фінансовий потік'!FA7*'Вхідні дані'!$B$9</f>
        <v>0</v>
      </c>
      <c r="FB8" s="46">
        <f>-'Вхідні дані'!$B$2/'Вхідні дані'!$B$42*'Фінансовий потік'!FB7*'Вхідні дані'!$B$9</f>
        <v>0</v>
      </c>
      <c r="FC8" s="46">
        <f>-'Вхідні дані'!$B$2/'Вхідні дані'!$B$42*'Фінансовий потік'!FC7*'Вхідні дані'!$B$9</f>
        <v>0</v>
      </c>
      <c r="FD8" s="46">
        <f>-'Вхідні дані'!$B$2/'Вхідні дані'!$B$42*'Фінансовий потік'!FD7*'Вхідні дані'!$B$9</f>
        <v>0</v>
      </c>
      <c r="FE8" s="46">
        <f>-'Вхідні дані'!$B$2/'Вхідні дані'!$B$42*'Фінансовий потік'!FE7*'Вхідні дані'!$B$9</f>
        <v>-91525.751072961371</v>
      </c>
      <c r="FF8" s="46">
        <f>-'Вхідні дані'!$B$2/'Вхідні дані'!$B$42*'Фінансовий потік'!FF7*'Вхідні дані'!$B$9</f>
        <v>-196126.60944206009</v>
      </c>
      <c r="FG8" s="46">
        <f>-'Вхідні дані'!$B$2/'Вхідні дані'!$B$42*'Фінансовий потік'!FG7*'Вхідні дані'!$B$9</f>
        <v>-202664.16309012874</v>
      </c>
      <c r="FH8" s="46">
        <f>-'Вхідні дані'!$B$2/'Вхідні дані'!$B$42*'Фінансовий потік'!FH7*'Вхідні дані'!$B$9</f>
        <v>-202664.16309012874</v>
      </c>
      <c r="FI8" s="46">
        <f>-'Вхідні дані'!$B$2/'Вхідні дані'!$B$42*'Фінансовий потік'!FI7*'Вхідні дані'!$B$9</f>
        <v>-189589.0557939914</v>
      </c>
      <c r="FJ8" s="46">
        <f>-'Вхідні дані'!$B$2/'Вхідні дані'!$B$42*'Фінансовий потік'!FJ7*'Вхідні дані'!$B$9</f>
        <v>-202664.16309012874</v>
      </c>
      <c r="FK8" s="46">
        <f>-'Вхідні дані'!$B$2/'Вхідні дані'!$B$42*'Фінансовий потік'!FK7*'Вхідні дані'!$B$9</f>
        <v>-84988.1974248927</v>
      </c>
      <c r="FL8" s="46">
        <f>-'Вхідні дані'!$B$2/'Вхідні дані'!$B$42*'Фінансовий потік'!FL7*'Вхідні дані'!$B$9</f>
        <v>0</v>
      </c>
      <c r="FM8" s="46">
        <f>-'Вхідні дані'!$B$2/'Вхідні дані'!$B$42*'Фінансовий потік'!FM7*'Вхідні дані'!$B$9</f>
        <v>0</v>
      </c>
      <c r="FN8" s="46">
        <f>-'Вхідні дані'!$B$2/'Вхідні дані'!$B$42*'Фінансовий потік'!FN7*'Вхідні дані'!$B$9</f>
        <v>0</v>
      </c>
      <c r="FO8" s="46">
        <f>-'Вхідні дані'!$B$2/'Вхідні дані'!$B$42*'Фінансовий потік'!FO7*'Вхідні дані'!$B$9</f>
        <v>0</v>
      </c>
      <c r="FP8" s="46">
        <f>-'Вхідні дані'!$B$2/'Вхідні дані'!$B$42*'Фінансовий потік'!FP7*'Вхідні дані'!$B$9</f>
        <v>0</v>
      </c>
      <c r="FQ8" s="46">
        <f>-'Вхідні дані'!$B$2/'Вхідні дані'!$B$42*'Фінансовий потік'!FQ7*'Вхідні дані'!$B$9</f>
        <v>-91525.751072961371</v>
      </c>
      <c r="FR8" s="46">
        <f>-'Вхідні дані'!$B$2/'Вхідні дані'!$B$42*'Фінансовий потік'!FR7*'Вхідні дані'!$B$9</f>
        <v>-196126.60944206009</v>
      </c>
      <c r="FS8" s="46">
        <f>-'Вхідні дані'!$B$2/'Вхідні дані'!$B$42*'Фінансовий потік'!FS7*'Вхідні дані'!$B$9</f>
        <v>-202664.16309012874</v>
      </c>
      <c r="FT8" s="46">
        <f>-'Вхідні дані'!$B$2/'Вхідні дані'!$B$42*'Фінансовий потік'!FT7*'Вхідні дані'!$B$9</f>
        <v>-202664.16309012874</v>
      </c>
      <c r="FU8" s="46">
        <f>-'Вхідні дані'!$B$2/'Вхідні дані'!$B$42*'Фінансовий потік'!FU7*'Вхідні дані'!$B$9</f>
        <v>-189589.0557939914</v>
      </c>
      <c r="FV8" s="46">
        <f>-'Вхідні дані'!$B$2/'Вхідні дані'!$B$42*'Фінансовий потік'!FV7*'Вхідні дані'!$B$9</f>
        <v>-202664.16309012874</v>
      </c>
      <c r="FW8" s="46">
        <f>-'Вхідні дані'!$B$2/'Вхідні дані'!$B$42*'Фінансовий потік'!FW7*'Вхідні дані'!$B$9</f>
        <v>-84988.1974248927</v>
      </c>
      <c r="FX8" s="46">
        <f>-'Вхідні дані'!$B$2/'Вхідні дані'!$B$42*'Фінансовий потік'!FX7*'Вхідні дані'!$B$9</f>
        <v>0</v>
      </c>
      <c r="FY8" s="46">
        <f>-'Вхідні дані'!$B$2/'Вхідні дані'!$B$42*'Фінансовий потік'!FY7*'Вхідні дані'!$B$9</f>
        <v>0</v>
      </c>
      <c r="FZ8" s="46">
        <f>-'Вхідні дані'!$B$2/'Вхідні дані'!$B$42*'Фінансовий потік'!FZ7*'Вхідні дані'!$B$9</f>
        <v>0</v>
      </c>
      <c r="GA8" s="46">
        <f>-'Вхідні дані'!$B$2/'Вхідні дані'!$B$42*'Фінансовий потік'!GA7*'Вхідні дані'!$B$9</f>
        <v>0</v>
      </c>
      <c r="GB8" s="46">
        <f>-'Вхідні дані'!$B$2/'Вхідні дані'!$B$42*'Фінансовий потік'!GB7*'Вхідні дані'!$B$9</f>
        <v>0</v>
      </c>
      <c r="GC8" s="46">
        <f>-'Вхідні дані'!$B$2/'Вхідні дані'!$B$42*'Фінансовий потік'!GC7*'Вхідні дані'!$B$9</f>
        <v>-91525.751072961371</v>
      </c>
      <c r="GD8" s="46">
        <f>-'Вхідні дані'!$B$2/'Вхідні дані'!$B$42*'Фінансовий потік'!GD7*'Вхідні дані'!$B$9</f>
        <v>-196126.60944206009</v>
      </c>
      <c r="GE8" s="46">
        <f>-'Вхідні дані'!$B$2/'Вхідні дані'!$B$42*'Фінансовий потік'!GE7*'Вхідні дані'!$B$9</f>
        <v>-202664.16309012874</v>
      </c>
      <c r="GF8" s="46">
        <f>-'Вхідні дані'!$B$2/'Вхідні дані'!$B$42*'Фінансовий потік'!GF7*'Вхідні дані'!$B$9</f>
        <v>-202664.16309012874</v>
      </c>
      <c r="GG8" s="46">
        <f>-'Вхідні дані'!$B$2/'Вхідні дані'!$B$42*'Фінансовий потік'!GG7*'Вхідні дані'!$B$9</f>
        <v>-189589.0557939914</v>
      </c>
      <c r="GH8" s="46">
        <f>-'Вхідні дані'!$B$2/'Вхідні дані'!$B$42*'Фінансовий потік'!GH7*'Вхідні дані'!$B$9</f>
        <v>-202664.16309012874</v>
      </c>
      <c r="GI8" s="46">
        <f>-'Вхідні дані'!$B$2/'Вхідні дані'!$B$42*'Фінансовий потік'!GI7*'Вхідні дані'!$B$9</f>
        <v>-84988.1974248927</v>
      </c>
      <c r="GJ8" s="46">
        <f>-'Вхідні дані'!$B$2/'Вхідні дані'!$B$42*'Фінансовий потік'!GJ7*'Вхідні дані'!$B$9</f>
        <v>0</v>
      </c>
      <c r="GK8" s="46">
        <f>-'Вхідні дані'!$B$2/'Вхідні дані'!$B$42*'Фінансовий потік'!GK7*'Вхідні дані'!$B$9</f>
        <v>0</v>
      </c>
      <c r="GL8" s="46">
        <f>-'Вхідні дані'!$B$2/'Вхідні дані'!$B$42*'Фінансовий потік'!GL7*'Вхідні дані'!$B$9</f>
        <v>0</v>
      </c>
      <c r="GM8" s="46">
        <f>-'Вхідні дані'!$B$2/'Вхідні дані'!$B$42*'Фінансовий потік'!GM7*'Вхідні дані'!$B$9</f>
        <v>0</v>
      </c>
      <c r="GN8" s="46">
        <f>-'Вхідні дані'!$B$2/'Вхідні дані'!$B$42*'Фінансовий потік'!GN7*'Вхідні дані'!$B$9</f>
        <v>0</v>
      </c>
      <c r="GO8" s="46">
        <f>-'Вхідні дані'!$B$2/'Вхідні дані'!$B$42*'Фінансовий потік'!GO7*'Вхідні дані'!$B$9</f>
        <v>-91525.751072961371</v>
      </c>
      <c r="GP8" s="46">
        <f>-'Вхідні дані'!$B$2/'Вхідні дані'!$B$42*'Фінансовий потік'!GP7*'Вхідні дані'!$B$9</f>
        <v>-196126.60944206009</v>
      </c>
      <c r="GQ8" s="46">
        <f>-'Вхідні дані'!$B$2/'Вхідні дані'!$B$42*'Фінансовий потік'!GQ7*'Вхідні дані'!$B$9</f>
        <v>-202664.16309012874</v>
      </c>
      <c r="GR8" s="46">
        <f>-'Вхідні дані'!$B$2/'Вхідні дані'!$B$42*'Фінансовий потік'!GR7*'Вхідні дані'!$B$9</f>
        <v>-202664.16309012874</v>
      </c>
      <c r="GS8" s="46">
        <f>-'Вхідні дані'!$B$2/'Вхідні дані'!$B$42*'Фінансовий потік'!GS7*'Вхідні дані'!$B$9</f>
        <v>-189589.0557939914</v>
      </c>
      <c r="GT8" s="46">
        <f>-'Вхідні дані'!$B$2/'Вхідні дані'!$B$42*'Фінансовий потік'!GT7*'Вхідні дані'!$B$9</f>
        <v>-202664.16309012874</v>
      </c>
      <c r="GU8" s="46">
        <f>-'Вхідні дані'!$B$2/'Вхідні дані'!$B$42*'Фінансовий потік'!GU7*'Вхідні дані'!$B$9</f>
        <v>-84988.1974248927</v>
      </c>
      <c r="GV8" s="46">
        <f>-'Вхідні дані'!$B$2/'Вхідні дані'!$B$42*'Фінансовий потік'!GV7*'Вхідні дані'!$B$9</f>
        <v>0</v>
      </c>
      <c r="GW8" s="46">
        <f>-'Вхідні дані'!$B$2/'Вхідні дані'!$B$42*'Фінансовий потік'!GW7*'Вхідні дані'!$B$9</f>
        <v>0</v>
      </c>
      <c r="GX8" s="46">
        <f>-'Вхідні дані'!$B$2/'Вхідні дані'!$B$42*'Фінансовий потік'!GX7*'Вхідні дані'!$B$9</f>
        <v>0</v>
      </c>
      <c r="GY8" s="46">
        <f>-'Вхідні дані'!$B$2/'Вхідні дані'!$B$42*'Фінансовий потік'!GY7*'Вхідні дані'!$B$9</f>
        <v>0</v>
      </c>
      <c r="GZ8" s="46">
        <f>-'Вхідні дані'!$B$2/'Вхідні дані'!$B$42*'Фінансовий потік'!GZ7*'Вхідні дані'!$B$9</f>
        <v>0</v>
      </c>
      <c r="HA8" s="46">
        <f>-'Вхідні дані'!$B$2/'Вхідні дані'!$B$42*'Фінансовий потік'!HA7*'Вхідні дані'!$B$9</f>
        <v>-91525.751072961371</v>
      </c>
      <c r="HB8" s="46">
        <f>-'Вхідні дані'!$B$2/'Вхідні дані'!$B$42*'Фінансовий потік'!HB7*'Вхідні дані'!$B$9</f>
        <v>-196126.60944206009</v>
      </c>
      <c r="HC8" s="46">
        <f>-'Вхідні дані'!$B$2/'Вхідні дані'!$B$42*'Фінансовий потік'!HC7*'Вхідні дані'!$B$9</f>
        <v>-202664.16309012874</v>
      </c>
      <c r="HD8" s="46">
        <f>-'Вхідні дані'!$B$2/'Вхідні дані'!$B$42*'Фінансовий потік'!HD7*'Вхідні дані'!$B$9</f>
        <v>-202664.16309012874</v>
      </c>
      <c r="HE8" s="46">
        <f>-'Вхідні дані'!$B$2/'Вхідні дані'!$B$42*'Фінансовий потік'!HE7*'Вхідні дані'!$B$9</f>
        <v>-189589.0557939914</v>
      </c>
      <c r="HF8" s="46">
        <f>-'Вхідні дані'!$B$2/'Вхідні дані'!$B$42*'Фінансовий потік'!HF7*'Вхідні дані'!$B$9</f>
        <v>-202664.16309012874</v>
      </c>
      <c r="HG8" s="46">
        <f>-'Вхідні дані'!$B$2/'Вхідні дані'!$B$42*'Фінансовий потік'!HG7*'Вхідні дані'!$B$9</f>
        <v>-84988.1974248927</v>
      </c>
      <c r="HH8" s="46">
        <f>-'Вхідні дані'!$B$2/'Вхідні дані'!$B$42*'Фінансовий потік'!HH7*'Вхідні дані'!$B$9</f>
        <v>0</v>
      </c>
      <c r="HI8" s="46">
        <f>-'Вхідні дані'!$B$2/'Вхідні дані'!$B$42*'Фінансовий потік'!HI7*'Вхідні дані'!$B$9</f>
        <v>0</v>
      </c>
      <c r="HJ8" s="46">
        <f>-'Вхідні дані'!$B$2/'Вхідні дані'!$B$42*'Фінансовий потік'!HJ7*'Вхідні дані'!$B$9</f>
        <v>0</v>
      </c>
      <c r="HK8" s="46">
        <f>-'Вхідні дані'!$B$2/'Вхідні дані'!$B$42*'Фінансовий потік'!HK7*'Вхідні дані'!$B$9</f>
        <v>0</v>
      </c>
      <c r="HL8" s="46">
        <f>-'Вхідні дані'!$B$2/'Вхідні дані'!$B$42*'Фінансовий потік'!HL7*'Вхідні дані'!$B$9</f>
        <v>0</v>
      </c>
      <c r="HM8" s="46">
        <f>-'Вхідні дані'!$B$2/'Вхідні дані'!$B$42*'Фінансовий потік'!HM7*'Вхідні дані'!$B$9</f>
        <v>-91525.751072961371</v>
      </c>
      <c r="HN8" s="46">
        <f>-'Вхідні дані'!$B$2/'Вхідні дані'!$B$42*'Фінансовий потік'!HN7*'Вхідні дані'!$B$9</f>
        <v>-196126.60944206009</v>
      </c>
      <c r="HO8" s="46">
        <f>-'Вхідні дані'!$B$2/'Вхідні дані'!$B$42*'Фінансовий потік'!HO7*'Вхідні дані'!$B$9</f>
        <v>-202664.16309012874</v>
      </c>
      <c r="HP8" s="46">
        <f>-'Вхідні дані'!$B$2/'Вхідні дані'!$B$42*'Фінансовий потік'!HP7*'Вхідні дані'!$B$9</f>
        <v>-202664.16309012874</v>
      </c>
      <c r="HQ8" s="46">
        <f>-'Вхідні дані'!$B$2/'Вхідні дані'!$B$42*'Фінансовий потік'!HQ7*'Вхідні дані'!$B$9</f>
        <v>-189589.0557939914</v>
      </c>
      <c r="HR8" s="46">
        <f>-'Вхідні дані'!$B$2/'Вхідні дані'!$B$42*'Фінансовий потік'!HR7*'Вхідні дані'!$B$9</f>
        <v>-202664.16309012874</v>
      </c>
      <c r="HS8" s="46">
        <f>-'Вхідні дані'!$B$2/'Вхідні дані'!$B$42*'Фінансовий потік'!HS7*'Вхідні дані'!$B$9</f>
        <v>-84988.1974248927</v>
      </c>
      <c r="HT8" s="46">
        <f>-'Вхідні дані'!$B$2/'Вхідні дані'!$B$42*'Фінансовий потік'!HT7*'Вхідні дані'!$B$9</f>
        <v>0</v>
      </c>
      <c r="HU8" s="46">
        <f>-'Вхідні дані'!$B$2/'Вхідні дані'!$B$42*'Фінансовий потік'!HU7*'Вхідні дані'!$B$9</f>
        <v>0</v>
      </c>
      <c r="HV8" s="46">
        <f>-'Вхідні дані'!$B$2/'Вхідні дані'!$B$42*'Фінансовий потік'!HV7*'Вхідні дані'!$B$9</f>
        <v>0</v>
      </c>
      <c r="HW8" s="46">
        <f>-'Вхідні дані'!$B$2/'Вхідні дані'!$B$42*'Фінансовий потік'!HW7*'Вхідні дані'!$B$9</f>
        <v>0</v>
      </c>
      <c r="HX8" s="46">
        <f>-'Вхідні дані'!$B$2/'Вхідні дані'!$B$42*'Фінансовий потік'!HX7*'Вхідні дані'!$B$9</f>
        <v>0</v>
      </c>
      <c r="HY8" s="46">
        <f>-'Вхідні дані'!$B$2/'Вхідні дані'!$B$42*'Фінансовий потік'!HY7*'Вхідні дані'!$B$9</f>
        <v>-91525.751072961371</v>
      </c>
      <c r="HZ8" s="46">
        <f>-'Вхідні дані'!$B$2/'Вхідні дані'!$B$42*'Фінансовий потік'!HZ7*'Вхідні дані'!$B$9</f>
        <v>-196126.60944206009</v>
      </c>
      <c r="IA8" s="46">
        <f>-'Вхідні дані'!$B$2/'Вхідні дані'!$B$42*'Фінансовий потік'!IA7*'Вхідні дані'!$B$9</f>
        <v>-202664.16309012874</v>
      </c>
      <c r="IB8" s="46">
        <f>-'Вхідні дані'!$B$2/'Вхідні дані'!$B$42*'Фінансовий потік'!IB7*'Вхідні дані'!$B$9</f>
        <v>-202664.16309012874</v>
      </c>
      <c r="IC8" s="46">
        <f>-'Вхідні дані'!$B$2/'Вхідні дані'!$B$42*'Фінансовий потік'!IC7*'Вхідні дані'!$B$9</f>
        <v>-189589.0557939914</v>
      </c>
      <c r="ID8" s="46">
        <f>-'Вхідні дані'!$B$2/'Вхідні дані'!$B$42*'Фінансовий потік'!ID7*'Вхідні дані'!$B$9</f>
        <v>-202664.16309012874</v>
      </c>
      <c r="IE8" s="46">
        <f>-'Вхідні дані'!$B$2/'Вхідні дані'!$B$42*'Фінансовий потік'!IE7*'Вхідні дані'!$B$9</f>
        <v>-84988.1974248927</v>
      </c>
      <c r="IF8" s="46">
        <f>-'Вхідні дані'!$B$2/'Вхідні дані'!$B$42*'Фінансовий потік'!IF7*'Вхідні дані'!$B$9</f>
        <v>0</v>
      </c>
      <c r="IG8" s="46">
        <f>-'Вхідні дані'!$B$2/'Вхідні дані'!$B$42*'Фінансовий потік'!IG7*'Вхідні дані'!$B$9</f>
        <v>0</v>
      </c>
    </row>
    <row r="9" spans="1:247" x14ac:dyDescent="0.25">
      <c r="A9" s="57" t="s">
        <v>328</v>
      </c>
      <c r="B9" s="46"/>
      <c r="C9" s="46"/>
      <c r="D9" s="46"/>
      <c r="E9" s="46">
        <f>-'Вхідні дані'!$B$4/'Вхідні дані'!$B$42*'Фінансовий потік'!E7*'Вхідні дані'!$B$7</f>
        <v>-27661.115879828321</v>
      </c>
      <c r="F9" s="46">
        <f>-'Вхідні дані'!$B$4/'Вхідні дані'!$B$42*'Фінансовий потік'!F7*'Вхідні дані'!$B$7</f>
        <v>-59273.819742489264</v>
      </c>
      <c r="G9" s="46">
        <f>-'Вхідні дані'!$B$4/'Вхідні дані'!$B$42*'Фінансовий потік'!G7*'Вхідні дані'!$B$7</f>
        <v>-61249.613733905571</v>
      </c>
      <c r="H9" s="46">
        <f>-'Вхідні дані'!$B$4/'Вхідні дані'!$B$42*'Фінансовий потік'!H7*'Вхідні дані'!$B$7</f>
        <v>-61249.613733905571</v>
      </c>
      <c r="I9" s="46">
        <f>-'Вхідні дані'!$B$4/'Вхідні дані'!$B$42*'Фінансовий потік'!I7*'Вхідні дані'!$B$7</f>
        <v>-57298.02575107295</v>
      </c>
      <c r="J9" s="46">
        <f>-'Вхідні дані'!$B$4/'Вхідні дані'!$B$42*'Фінансовий потік'!J7*'Вхідні дані'!$B$7</f>
        <v>-61249.613733905571</v>
      </c>
      <c r="K9" s="46">
        <f>-'Вхідні дані'!$B$4/'Вхідні дані'!$B$42*'Фінансовий потік'!K7*'Вхідні дані'!$B$7</f>
        <v>-25685.321888412018</v>
      </c>
      <c r="L9" s="46">
        <f>-'Вхідні дані'!$B$4/'Вхідні дані'!$B$42*'Фінансовий потік'!L7*'Вхідні дані'!$B$7</f>
        <v>0</v>
      </c>
      <c r="M9" s="46">
        <f>-'Вхідні дані'!$B$4/'Вхідні дані'!$B$42*'Фінансовий потік'!M7*'Вхідні дані'!$B$7</f>
        <v>0</v>
      </c>
      <c r="N9" s="46">
        <f>-'Вхідні дані'!$B$4/'Вхідні дані'!$B$42*'Фінансовий потік'!N7*'Вхідні дані'!$B$7</f>
        <v>0</v>
      </c>
      <c r="O9" s="46">
        <f>-'Вхідні дані'!$B$4/'Вхідні дані'!$B$42*'Фінансовий потік'!O7*'Вхідні дані'!$B$7</f>
        <v>0</v>
      </c>
      <c r="P9" s="46">
        <f>-'Вхідні дані'!$B$4/'Вхідні дані'!$B$42*'Фінансовий потік'!P7*'Вхідні дані'!$B$7</f>
        <v>0</v>
      </c>
      <c r="Q9" s="46">
        <f>-'Вхідні дані'!$B$4/'Вхідні дані'!$B$42*'Фінансовий потік'!Q7*'Вхідні дані'!$B$8</f>
        <v>-41491.673819742478</v>
      </c>
      <c r="R9" s="46">
        <f>-'Вхідні дані'!$B$4/'Вхідні дані'!$B$42*'Фінансовий потік'!R7*'Вхідні дані'!$B$8</f>
        <v>-88910.729613733885</v>
      </c>
      <c r="S9" s="46">
        <f>-'Вхідні дані'!$B$4/'Вхідні дані'!$B$42*'Фінансовий потік'!S7*'Вхідні дані'!$B$8</f>
        <v>-91874.420600858342</v>
      </c>
      <c r="T9" s="46">
        <f>-'Вхідні дані'!$B$4/'Вхідні дані'!$B$42*'Фінансовий потік'!T7*'Вхідні дані'!$B$8</f>
        <v>-91874.420600858342</v>
      </c>
      <c r="U9" s="46">
        <f>-'Вхідні дані'!$B$4/'Вхідні дані'!$B$42*'Фінансовий потік'!U7*'Вхідні дані'!$B$8</f>
        <v>-82983.347639484957</v>
      </c>
      <c r="V9" s="46">
        <f>-'Вхідні дані'!$B$4/'Вхідні дані'!$B$42*'Фінансовий потік'!V7*'Вхідні дані'!$B$8</f>
        <v>-91874.420600858342</v>
      </c>
      <c r="W9" s="46">
        <f>-'Вхідні дані'!$B$4/'Вхідні дані'!$B$42*'Фінансовий потік'!W7*'Вхідні дані'!$B$8</f>
        <v>-41491.673819742478</v>
      </c>
      <c r="X9" s="46">
        <f>-'Вхідні дані'!$B$4/'Вхідні дані'!$B$42*'Фінансовий потік'!X7*'Вхідні дані'!$B$8</f>
        <v>0</v>
      </c>
      <c r="Y9" s="46">
        <f>-'Вхідні дані'!$B$4/'Вхідні дані'!$B$42*'Фінансовий потік'!Y7*'Вхідні дані'!$B$8</f>
        <v>0</v>
      </c>
      <c r="Z9" s="46">
        <f>-'Вхідні дані'!$B$4/'Вхідні дані'!$B$42*'Фінансовий потік'!Z7*'Вхідні дані'!$B$8</f>
        <v>0</v>
      </c>
      <c r="AA9" s="46">
        <f>-'Вхідні дані'!$B$4/'Вхідні дані'!$B$42*'Фінансовий потік'!AA7*'Вхідні дані'!$B$8</f>
        <v>0</v>
      </c>
      <c r="AB9" s="46">
        <f>-'Вхідні дані'!$B$4/'Вхідні дані'!$B$42*'Фінансовий потік'!AB7*'Вхідні дані'!$B$8</f>
        <v>0</v>
      </c>
      <c r="AC9" s="46">
        <f>-'Вхідні дані'!$B$4/'Вхідні дані'!$B$42*'Фінансовий потік'!AC7*'Вхідні дані'!$B$9</f>
        <v>-62237.510729613714</v>
      </c>
      <c r="AD9" s="46">
        <f>-'Вхідні дані'!$B$4/'Вхідні дані'!$B$42*'Фінансовий потік'!AD7*'Вхідні дані'!$B$9</f>
        <v>-133366.09442060083</v>
      </c>
      <c r="AE9" s="46">
        <f>-'Вхідні дані'!$B$4/'Вхідні дані'!$B$42*'Фінансовий потік'!AE7*'Вхідні дані'!$B$9</f>
        <v>-137811.63090128751</v>
      </c>
      <c r="AF9" s="46">
        <f>-'Вхідні дані'!$B$4/'Вхідні дані'!$B$42*'Фінансовий потік'!AF7*'Вхідні дані'!$B$9</f>
        <v>-137811.63090128751</v>
      </c>
      <c r="AG9" s="46">
        <f>-'Вхідні дані'!$B$4/'Вхідні дані'!$B$42*'Фінансовий потік'!AG7*'Вхідні дані'!$B$9</f>
        <v>-124475.02145922743</v>
      </c>
      <c r="AH9" s="46">
        <f>-'Вхідні дані'!$B$4/'Вхідні дані'!$B$42*'Фінансовий потік'!AH7*'Вхідні дані'!$B$9</f>
        <v>-137811.63090128751</v>
      </c>
      <c r="AI9" s="46">
        <f>-'Вхідні дані'!$B$4/'Вхідні дані'!$B$42*'Фінансовий потік'!AI7*'Вхідні дані'!$B$9</f>
        <v>-62237.510729613714</v>
      </c>
      <c r="AJ9" s="46">
        <f>-'Вхідні дані'!$B$4/'Вхідні дані'!$B$42*'Фінансовий потік'!AJ7*'Вхідні дані'!$B$9</f>
        <v>0</v>
      </c>
      <c r="AK9" s="46">
        <f>-'Вхідні дані'!$B$4/'Вхідні дані'!$B$42*'Фінансовий потік'!AK7*'Вхідні дані'!$B$9</f>
        <v>0</v>
      </c>
      <c r="AL9" s="46">
        <f>-'Вхідні дані'!$B$4/'Вхідні дані'!$B$42*'Фінансовий потік'!AL7*'Вхідні дані'!$B$9</f>
        <v>0</v>
      </c>
      <c r="AM9" s="46">
        <f>-'Вхідні дані'!$B$4/'Вхідні дані'!$B$42*'Фінансовий потік'!AM7*'Вхідні дані'!$B$9</f>
        <v>0</v>
      </c>
      <c r="AN9" s="46">
        <f>-'Вхідні дані'!$B$4/'Вхідні дані'!$B$42*'Фінансовий потік'!AN7*'Вхідні дані'!$B$9</f>
        <v>0</v>
      </c>
      <c r="AO9" s="46">
        <f>-'Вхідні дані'!$B$4/'Вхідні дані'!$B$42*'Фінансовий потік'!AO7*'Вхідні дані'!$B$9</f>
        <v>-62237.510729613714</v>
      </c>
      <c r="AP9" s="46">
        <f>-'Вхідні дані'!$B$4/'Вхідні дані'!$B$42*'Фінансовий потік'!AP7*'Вхідні дані'!$B$9</f>
        <v>-133366.09442060083</v>
      </c>
      <c r="AQ9" s="46">
        <f>-'Вхідні дані'!$B$4/'Вхідні дані'!$B$42*'Фінансовий потік'!AQ7*'Вхідні дані'!$B$9</f>
        <v>-137811.63090128751</v>
      </c>
      <c r="AR9" s="46">
        <f>-'Вхідні дані'!$B$4/'Вхідні дані'!$B$42*'Фінансовий потік'!AR7*'Вхідні дані'!$B$9</f>
        <v>-137811.63090128751</v>
      </c>
      <c r="AS9" s="46">
        <f>-'Вхідні дані'!$B$4/'Вхідні дані'!$B$42*'Фінансовий потік'!AS7*'Вхідні дані'!$B$9</f>
        <v>-124475.02145922743</v>
      </c>
      <c r="AT9" s="46">
        <f>-'Вхідні дані'!$B$4/'Вхідні дані'!$B$42*'Фінансовий потік'!AT7*'Вхідні дані'!$B$9</f>
        <v>-137811.63090128751</v>
      </c>
      <c r="AU9" s="46">
        <f>-'Вхідні дані'!$B$4/'Вхідні дані'!$B$42*'Фінансовий потік'!AU7*'Вхідні дані'!$B$9</f>
        <v>-62237.510729613714</v>
      </c>
      <c r="AV9" s="46">
        <f>-'Вхідні дані'!$B$4/'Вхідні дані'!$B$42*'Фінансовий потік'!AV7*'Вхідні дані'!$B$9</f>
        <v>0</v>
      </c>
      <c r="AW9" s="46">
        <f>-'Вхідні дані'!$B$4/'Вхідні дані'!$B$42*'Фінансовий потік'!AW7*'Вхідні дані'!$B$9</f>
        <v>0</v>
      </c>
      <c r="AX9" s="46">
        <f>-'Вхідні дані'!$B$4/'Вхідні дані'!$B$42*'Фінансовий потік'!AX7*'Вхідні дані'!$B$9</f>
        <v>0</v>
      </c>
      <c r="AY9" s="46">
        <f>-'Вхідні дані'!$B$4/'Вхідні дані'!$B$42*'Фінансовий потік'!AY7*'Вхідні дані'!$B$9</f>
        <v>0</v>
      </c>
      <c r="AZ9" s="46">
        <f>-'Вхідні дані'!$B$4/'Вхідні дані'!$B$42*'Фінансовий потік'!AZ7*'Вхідні дані'!$B$9</f>
        <v>0</v>
      </c>
      <c r="BA9" s="46">
        <f>-'Вхідні дані'!$B$4/'Вхідні дані'!$B$42*'Фінансовий потік'!BA7*'Вхідні дані'!$B$9</f>
        <v>-62237.510729613714</v>
      </c>
      <c r="BB9" s="46">
        <f>-'Вхідні дані'!$B$4/'Вхідні дані'!$B$42*'Фінансовий потік'!BB7*'Вхідні дані'!$B$9</f>
        <v>-133366.09442060083</v>
      </c>
      <c r="BC9" s="46">
        <f>-'Вхідні дані'!$B$4/'Вхідні дані'!$B$42*'Фінансовий потік'!BC7*'Вхідні дані'!$B$9</f>
        <v>-137811.63090128751</v>
      </c>
      <c r="BD9" s="46">
        <f>-'Вхідні дані'!$B$4/'Вхідні дані'!$B$42*'Фінансовий потік'!BD7*'Вхідні дані'!$B$9</f>
        <v>-137811.63090128751</v>
      </c>
      <c r="BE9" s="46">
        <f>-'Вхідні дані'!$B$4/'Вхідні дані'!$B$42*'Фінансовий потік'!BE7*'Вхідні дані'!$B$9</f>
        <v>-128920.55793991413</v>
      </c>
      <c r="BF9" s="46">
        <f>-'Вхідні дані'!$B$4/'Вхідні дані'!$B$42*'Фінансовий потік'!BF7*'Вхідні дані'!$B$9</f>
        <v>-137811.63090128751</v>
      </c>
      <c r="BG9" s="46">
        <f>-'Вхідні дані'!$B$4/'Вхідні дані'!$B$42*'Фінансовий потік'!BG7*'Вхідні дані'!$B$9</f>
        <v>-57791.974248927028</v>
      </c>
      <c r="BH9" s="46">
        <f>-'Вхідні дані'!$B$4/'Вхідні дані'!$B$42*'Фінансовий потік'!BH7*'Вхідні дані'!$B$9</f>
        <v>0</v>
      </c>
      <c r="BI9" s="46">
        <f>-'Вхідні дані'!$B$4/'Вхідні дані'!$B$42*'Фінансовий потік'!BI7*'Вхідні дані'!$B$9</f>
        <v>0</v>
      </c>
      <c r="BJ9" s="46">
        <f>-'Вхідні дані'!$B$4/'Вхідні дані'!$B$42*'Фінансовий потік'!BJ7*'Вхідні дані'!$B$9</f>
        <v>0</v>
      </c>
      <c r="BK9" s="46">
        <f>-'Вхідні дані'!$B$4/'Вхідні дані'!$B$42*'Фінансовий потік'!BK7*'Вхідні дані'!$B$9</f>
        <v>0</v>
      </c>
      <c r="BL9" s="46">
        <f>-'Вхідні дані'!$B$4/'Вхідні дані'!$B$42*'Фінансовий потік'!BL7*'Вхідні дані'!$B$9</f>
        <v>0</v>
      </c>
      <c r="BM9" s="46">
        <f>-'Вхідні дані'!$B$4/'Вхідні дані'!$B$42*'Фінансовий потік'!BM7*'Вхідні дані'!$B$9</f>
        <v>-62237.510729613714</v>
      </c>
      <c r="BN9" s="46">
        <f>-'Вхідні дані'!$B$4/'Вхідні дані'!$B$42*'Фінансовий потік'!BN7*'Вхідні дані'!$B$9</f>
        <v>-133366.09442060083</v>
      </c>
      <c r="BO9" s="46">
        <f>-'Вхідні дані'!$B$4/'Вхідні дані'!$B$42*'Фінансовий потік'!BO7*'Вхідні дані'!$B$9</f>
        <v>-137811.63090128751</v>
      </c>
      <c r="BP9" s="46">
        <f>-'Вхідні дані'!$B$4/'Вхідні дані'!$B$42*'Фінансовий потік'!BP7*'Вхідні дані'!$B$9</f>
        <v>-137811.63090128751</v>
      </c>
      <c r="BQ9" s="46">
        <f>-'Вхідні дані'!$B$4/'Вхідні дані'!$B$42*'Фінансовий потік'!BQ7*'Вхідні дані'!$B$9</f>
        <v>-128920.55793991413</v>
      </c>
      <c r="BR9" s="46">
        <f>-'Вхідні дані'!$B$4/'Вхідні дані'!$B$42*'Фінансовий потік'!BR7*'Вхідні дані'!$B$9</f>
        <v>-137811.63090128751</v>
      </c>
      <c r="BS9" s="46">
        <f>-'Вхідні дані'!$B$4/'Вхідні дані'!$B$42*'Фінансовий потік'!BS7*'Вхідні дані'!$B$9</f>
        <v>-57791.974248927028</v>
      </c>
      <c r="BT9" s="46">
        <f>-'Вхідні дані'!$B$4/'Вхідні дані'!$B$42*'Фінансовий потік'!BT7*'Вхідні дані'!$B$9</f>
        <v>0</v>
      </c>
      <c r="BU9" s="46">
        <f>-'Вхідні дані'!$B$4/'Вхідні дані'!$B$42*'Фінансовий потік'!BU7*'Вхідні дані'!$B$9</f>
        <v>0</v>
      </c>
      <c r="BV9" s="46">
        <f>-'Вхідні дані'!$B$4/'Вхідні дані'!$B$42*'Фінансовий потік'!BV7*'Вхідні дані'!$B$9</f>
        <v>0</v>
      </c>
      <c r="BW9" s="46">
        <f>-'Вхідні дані'!$B$4/'Вхідні дані'!$B$42*'Фінансовий потік'!BW7*'Вхідні дані'!$B$9</f>
        <v>0</v>
      </c>
      <c r="BX9" s="46">
        <f>-'Вхідні дані'!$B$4/'Вхідні дані'!$B$42*'Фінансовий потік'!BX7*'Вхідні дані'!$B$9</f>
        <v>0</v>
      </c>
      <c r="BY9" s="46">
        <f>-'Вхідні дані'!$B$4/'Вхідні дані'!$B$42*'Фінансовий потік'!BY7*'Вхідні дані'!$B$9</f>
        <v>-62237.510729613714</v>
      </c>
      <c r="BZ9" s="46">
        <f>-'Вхідні дані'!$B$4/'Вхідні дані'!$B$42*'Фінансовий потік'!BZ7*'Вхідні дані'!$B$9</f>
        <v>-133366.09442060083</v>
      </c>
      <c r="CA9" s="46">
        <f>-'Вхідні дані'!$B$4/'Вхідні дані'!$B$42*'Фінансовий потік'!CA7*'Вхідні дані'!$B$9</f>
        <v>-137811.63090128751</v>
      </c>
      <c r="CB9" s="46">
        <f>-'Вхідні дані'!$B$4/'Вхідні дані'!$B$42*'Фінансовий потік'!CB7*'Вхідні дані'!$B$9</f>
        <v>-137811.63090128751</v>
      </c>
      <c r="CC9" s="46">
        <f>-'Вхідні дані'!$B$4/'Вхідні дані'!$B$42*'Фінансовий потік'!CC7*'Вхідні дані'!$B$9</f>
        <v>-128920.55793991413</v>
      </c>
      <c r="CD9" s="46">
        <f>-'Вхідні дані'!$B$4/'Вхідні дані'!$B$42*'Фінансовий потік'!CD7*'Вхідні дані'!$B$9</f>
        <v>-137811.63090128751</v>
      </c>
      <c r="CE9" s="46">
        <f>-'Вхідні дані'!$B$4/'Вхідні дані'!$B$42*'Фінансовий потік'!CE7*'Вхідні дані'!$B$9</f>
        <v>-57791.974248927028</v>
      </c>
      <c r="CF9" s="46">
        <f>-'Вхідні дані'!$B$4/'Вхідні дані'!$B$42*'Фінансовий потік'!CF7*'Вхідні дані'!$B$9</f>
        <v>0</v>
      </c>
      <c r="CG9" s="46">
        <f>-'Вхідні дані'!$B$4/'Вхідні дані'!$B$42*'Фінансовий потік'!CG7*'Вхідні дані'!$B$9</f>
        <v>0</v>
      </c>
      <c r="CH9" s="46">
        <f>-'Вхідні дані'!$B$4/'Вхідні дані'!$B$42*'Фінансовий потік'!CH7*'Вхідні дані'!$B$9</f>
        <v>0</v>
      </c>
      <c r="CI9" s="46">
        <f>-'Вхідні дані'!$B$4/'Вхідні дані'!$B$42*'Фінансовий потік'!CI7*'Вхідні дані'!$B$9</f>
        <v>0</v>
      </c>
      <c r="CJ9" s="46">
        <f>-'Вхідні дані'!$B$4/'Вхідні дані'!$B$42*'Фінансовий потік'!CJ7*'Вхідні дані'!$B$9</f>
        <v>0</v>
      </c>
      <c r="CK9" s="46">
        <f>-'Вхідні дані'!$B$4/'Вхідні дані'!$B$42*'Фінансовий потік'!CK7*'Вхідні дані'!$B$9</f>
        <v>-62237.510729613714</v>
      </c>
      <c r="CL9" s="46">
        <f>-'Вхідні дані'!$B$4/'Вхідні дані'!$B$42*'Фінансовий потік'!CL7*'Вхідні дані'!$B$9</f>
        <v>-133366.09442060083</v>
      </c>
      <c r="CM9" s="46">
        <f>-'Вхідні дані'!$B$4/'Вхідні дані'!$B$42*'Фінансовий потік'!CM7*'Вхідні дані'!$B$9</f>
        <v>-137811.63090128751</v>
      </c>
      <c r="CN9" s="46">
        <f>-'Вхідні дані'!$B$4/'Вхідні дані'!$B$42*'Фінансовий потік'!CN7*'Вхідні дані'!$B$9</f>
        <v>-137811.63090128751</v>
      </c>
      <c r="CO9" s="46">
        <f>-'Вхідні дані'!$B$4/'Вхідні дані'!$B$42*'Фінансовий потік'!CO7*'Вхідні дані'!$B$9</f>
        <v>-128920.55793991413</v>
      </c>
      <c r="CP9" s="46">
        <f>-'Вхідні дані'!$B$4/'Вхідні дані'!$B$42*'Фінансовий потік'!CP7*'Вхідні дані'!$B$9</f>
        <v>-137811.63090128751</v>
      </c>
      <c r="CQ9" s="46">
        <f>-'Вхідні дані'!$B$4/'Вхідні дані'!$B$42*'Фінансовий потік'!CQ7*'Вхідні дані'!$B$9</f>
        <v>-57791.974248927028</v>
      </c>
      <c r="CR9" s="46">
        <f>-'Вхідні дані'!$B$4/'Вхідні дані'!$B$42*'Фінансовий потік'!CR7*'Вхідні дані'!$B$9</f>
        <v>0</v>
      </c>
      <c r="CS9" s="46">
        <f>-'Вхідні дані'!$B$4/'Вхідні дані'!$B$42*'Фінансовий потік'!CS7*'Вхідні дані'!$B$9</f>
        <v>0</v>
      </c>
      <c r="CT9" s="46">
        <f>-'Вхідні дані'!$B$4/'Вхідні дані'!$B$42*'Фінансовий потік'!CT7*'Вхідні дані'!$B$9</f>
        <v>0</v>
      </c>
      <c r="CU9" s="46">
        <f>-'Вхідні дані'!$B$4/'Вхідні дані'!$B$42*'Фінансовий потік'!CU7*'Вхідні дані'!$B$9</f>
        <v>0</v>
      </c>
      <c r="CV9" s="46">
        <f>-'Вхідні дані'!$B$4/'Вхідні дані'!$B$42*'Фінансовий потік'!CV7*'Вхідні дані'!$B$9</f>
        <v>0</v>
      </c>
      <c r="CW9" s="46">
        <f>-'Вхідні дані'!$B$4/'Вхідні дані'!$B$42*'Фінансовий потік'!CW7*'Вхідні дані'!$B$9</f>
        <v>-62237.510729613714</v>
      </c>
      <c r="CX9" s="46">
        <f>-'Вхідні дані'!$B$4/'Вхідні дані'!$B$42*'Фінансовий потік'!CX7*'Вхідні дані'!$B$9</f>
        <v>-133366.09442060083</v>
      </c>
      <c r="CY9" s="46">
        <f>-'Вхідні дані'!$B$4/'Вхідні дані'!$B$42*'Фінансовий потік'!CY7*'Вхідні дані'!$B$9</f>
        <v>-137811.63090128751</v>
      </c>
      <c r="CZ9" s="46">
        <f>-'Вхідні дані'!$B$4/'Вхідні дані'!$B$42*'Фінансовий потік'!CZ7*'Вхідні дані'!$B$9</f>
        <v>-137811.63090128751</v>
      </c>
      <c r="DA9" s="46">
        <f>-'Вхідні дані'!$B$4/'Вхідні дані'!$B$42*'Фінансовий потік'!DA7*'Вхідні дані'!$B$9</f>
        <v>-128920.55793991413</v>
      </c>
      <c r="DB9" s="46">
        <f>-'Вхідні дані'!$B$4/'Вхідні дані'!$B$42*'Фінансовий потік'!DB7*'Вхідні дані'!$B$9</f>
        <v>-137811.63090128751</v>
      </c>
      <c r="DC9" s="46">
        <f>-'Вхідні дані'!$B$4/'Вхідні дані'!$B$42*'Фінансовий потік'!DC7*'Вхідні дані'!$B$9</f>
        <v>-57791.974248927028</v>
      </c>
      <c r="DD9" s="46">
        <f>-'Вхідні дані'!$B$4/'Вхідні дані'!$B$42*'Фінансовий потік'!DD7*'Вхідні дані'!$B$9</f>
        <v>0</v>
      </c>
      <c r="DE9" s="46">
        <f>-'Вхідні дані'!$B$4/'Вхідні дані'!$B$42*'Фінансовий потік'!DE7*'Вхідні дані'!$B$9</f>
        <v>0</v>
      </c>
      <c r="DF9" s="46">
        <f>-'Вхідні дані'!$B$4/'Вхідні дані'!$B$42*'Фінансовий потік'!DF7*'Вхідні дані'!$B$9</f>
        <v>0</v>
      </c>
      <c r="DG9" s="46">
        <f>-'Вхідні дані'!$B$4/'Вхідні дані'!$B$42*'Фінансовий потік'!DG7*'Вхідні дані'!$B$9</f>
        <v>0</v>
      </c>
      <c r="DH9" s="46">
        <f>-'Вхідні дані'!$B$4/'Вхідні дані'!$B$42*'Фінансовий потік'!DH7*'Вхідні дані'!$B$9</f>
        <v>0</v>
      </c>
      <c r="DI9" s="46">
        <f>-'Вхідні дані'!$B$4/'Вхідні дані'!$B$42*'Фінансовий потік'!DI7*'Вхідні дані'!$B$9</f>
        <v>-62237.510729613714</v>
      </c>
      <c r="DJ9" s="46">
        <f>-'Вхідні дані'!$B$4/'Вхідні дані'!$B$42*'Фінансовий потік'!DJ7*'Вхідні дані'!$B$9</f>
        <v>-133366.09442060083</v>
      </c>
      <c r="DK9" s="46">
        <f>-'Вхідні дані'!$B$4/'Вхідні дані'!$B$42*'Фінансовий потік'!DK7*'Вхідні дані'!$B$9</f>
        <v>-137811.63090128751</v>
      </c>
      <c r="DL9" s="46">
        <f>-'Вхідні дані'!$B$4/'Вхідні дані'!$B$42*'Фінансовий потік'!DL7*'Вхідні дані'!$B$9</f>
        <v>-137811.63090128751</v>
      </c>
      <c r="DM9" s="46">
        <f>-'Вхідні дані'!$B$4/'Вхідні дані'!$B$42*'Фінансовий потік'!DM7*'Вхідні дані'!$B$9</f>
        <v>-128920.55793991413</v>
      </c>
      <c r="DN9" s="46">
        <f>-'Вхідні дані'!$B$4/'Вхідні дані'!$B$42*'Фінансовий потік'!DN7*'Вхідні дані'!$B$9</f>
        <v>-137811.63090128751</v>
      </c>
      <c r="DO9" s="46">
        <f>-'Вхідні дані'!$B$4/'Вхідні дані'!$B$42*'Фінансовий потік'!DO7*'Вхідні дані'!$B$9</f>
        <v>-57791.974248927028</v>
      </c>
      <c r="DP9" s="46">
        <f>-'Вхідні дані'!$B$4/'Вхідні дані'!$B$42*'Фінансовий потік'!DP7*'Вхідні дані'!$B$9</f>
        <v>0</v>
      </c>
      <c r="DQ9" s="46">
        <f>-'Вхідні дані'!$B$4/'Вхідні дані'!$B$42*'Фінансовий потік'!DQ7*'Вхідні дані'!$B$9</f>
        <v>0</v>
      </c>
      <c r="DR9" s="46">
        <f>-'Вхідні дані'!$B$4/'Вхідні дані'!$B$42*'Фінансовий потік'!DR7*'Вхідні дані'!$B$9</f>
        <v>0</v>
      </c>
      <c r="DS9" s="46">
        <f>-'Вхідні дані'!$B$4/'Вхідні дані'!$B$42*'Фінансовий потік'!DS7*'Вхідні дані'!$B$9</f>
        <v>0</v>
      </c>
      <c r="DT9" s="46">
        <f>-'Вхідні дані'!$B$4/'Вхідні дані'!$B$42*'Фінансовий потік'!DT7*'Вхідні дані'!$B$9</f>
        <v>0</v>
      </c>
      <c r="DU9" s="46">
        <f>-'Вхідні дані'!$B$4/'Вхідні дані'!$B$42*'Фінансовий потік'!DU7*'Вхідні дані'!$B$9</f>
        <v>-62237.510729613714</v>
      </c>
      <c r="DV9" s="46">
        <f>-'Вхідні дані'!$B$4/'Вхідні дані'!$B$42*'Фінансовий потік'!DV7*'Вхідні дані'!$B$9</f>
        <v>-133366.09442060083</v>
      </c>
      <c r="DW9" s="46">
        <f>-'Вхідні дані'!$B$4/'Вхідні дані'!$B$42*'Фінансовий потік'!DW7*'Вхідні дані'!$B$9</f>
        <v>-137811.63090128751</v>
      </c>
      <c r="DX9" s="46">
        <f>-'Вхідні дані'!$B$4/'Вхідні дані'!$B$42*'Фінансовий потік'!DX7*'Вхідні дані'!$B$9</f>
        <v>-137811.63090128751</v>
      </c>
      <c r="DY9" s="46">
        <f>-'Вхідні дані'!$B$4/'Вхідні дані'!$B$42*'Фінансовий потік'!DY7*'Вхідні дані'!$B$9</f>
        <v>-128920.55793991413</v>
      </c>
      <c r="DZ9" s="46">
        <f>-'Вхідні дані'!$B$4/'Вхідні дані'!$B$42*'Фінансовий потік'!DZ7*'Вхідні дані'!$B$9</f>
        <v>-137811.63090128751</v>
      </c>
      <c r="EA9" s="46">
        <f>-'Вхідні дані'!$B$4/'Вхідні дані'!$B$42*'Фінансовий потік'!EA7*'Вхідні дані'!$B$9</f>
        <v>-57791.974248927028</v>
      </c>
      <c r="EB9" s="46">
        <f>-'Вхідні дані'!$B$4/'Вхідні дані'!$B$42*'Фінансовий потік'!EB7*'Вхідні дані'!$B$9</f>
        <v>0</v>
      </c>
      <c r="EC9" s="46">
        <f>-'Вхідні дані'!$B$4/'Вхідні дані'!$B$42*'Фінансовий потік'!EC7*'Вхідні дані'!$B$9</f>
        <v>0</v>
      </c>
      <c r="ED9" s="46">
        <f>-'Вхідні дані'!$B$4/'Вхідні дані'!$B$42*'Фінансовий потік'!ED7*'Вхідні дані'!$B$9</f>
        <v>0</v>
      </c>
      <c r="EE9" s="46">
        <f>-'Вхідні дані'!$B$4/'Вхідні дані'!$B$42*'Фінансовий потік'!EE7*'Вхідні дані'!$B$9</f>
        <v>0</v>
      </c>
      <c r="EF9" s="46">
        <f>-'Вхідні дані'!$B$4/'Вхідні дані'!$B$42*'Фінансовий потік'!EF7*'Вхідні дані'!$B$9</f>
        <v>0</v>
      </c>
      <c r="EG9" s="46">
        <f>-'Вхідні дані'!$B$4/'Вхідні дані'!$B$42*'Фінансовий потік'!EG7*'Вхідні дані'!$B$9</f>
        <v>-62237.510729613714</v>
      </c>
      <c r="EH9" s="46">
        <f>-'Вхідні дані'!$B$4/'Вхідні дані'!$B$42*'Фінансовий потік'!EH7*'Вхідні дані'!$B$9</f>
        <v>-133366.09442060083</v>
      </c>
      <c r="EI9" s="46">
        <f>-'Вхідні дані'!$B$4/'Вхідні дані'!$B$42*'Фінансовий потік'!EI7*'Вхідні дані'!$B$9</f>
        <v>-137811.63090128751</v>
      </c>
      <c r="EJ9" s="46">
        <f>-'Вхідні дані'!$B$4/'Вхідні дані'!$B$42*'Фінансовий потік'!EJ7*'Вхідні дані'!$B$9</f>
        <v>-137811.63090128751</v>
      </c>
      <c r="EK9" s="46">
        <f>-'Вхідні дані'!$B$4/'Вхідні дані'!$B$42*'Фінансовий потік'!EK7*'Вхідні дані'!$B$9</f>
        <v>-128920.55793991413</v>
      </c>
      <c r="EL9" s="46">
        <f>-'Вхідні дані'!$B$4/'Вхідні дані'!$B$42*'Фінансовий потік'!EL7*'Вхідні дані'!$B$9</f>
        <v>-137811.63090128751</v>
      </c>
      <c r="EM9" s="46">
        <f>-'Вхідні дані'!$B$4/'Вхідні дані'!$B$42*'Фінансовий потік'!EM7*'Вхідні дані'!$B$9</f>
        <v>-57791.974248927028</v>
      </c>
      <c r="EN9" s="46">
        <f>-'Вхідні дані'!$B$4/'Вхідні дані'!$B$42*'Фінансовий потік'!EN7*'Вхідні дані'!$B$9</f>
        <v>0</v>
      </c>
      <c r="EO9" s="46">
        <f>-'Вхідні дані'!$B$4/'Вхідні дані'!$B$42*'Фінансовий потік'!EO7*'Вхідні дані'!$B$9</f>
        <v>0</v>
      </c>
      <c r="EP9" s="46">
        <f>-'Вхідні дані'!$B$4/'Вхідні дані'!$B$42*'Фінансовий потік'!EP7*'Вхідні дані'!$B$9</f>
        <v>0</v>
      </c>
      <c r="EQ9" s="46">
        <f>-'Вхідні дані'!$B$4/'Вхідні дані'!$B$42*'Фінансовий потік'!EQ7*'Вхідні дані'!$B$9</f>
        <v>0</v>
      </c>
      <c r="ER9" s="46">
        <f>-'Вхідні дані'!$B$4/'Вхідні дані'!$B$42*'Фінансовий потік'!ER7*'Вхідні дані'!$B$9</f>
        <v>0</v>
      </c>
      <c r="ES9" s="46">
        <f>-'Вхідні дані'!$B$4/'Вхідні дані'!$B$42*'Фінансовий потік'!ES7*'Вхідні дані'!$B$9</f>
        <v>-62237.510729613714</v>
      </c>
      <c r="ET9" s="46">
        <f>-'Вхідні дані'!$B$4/'Вхідні дані'!$B$42*'Фінансовий потік'!ET7*'Вхідні дані'!$B$9</f>
        <v>-133366.09442060083</v>
      </c>
      <c r="EU9" s="46">
        <f>-'Вхідні дані'!$B$4/'Вхідні дані'!$B$42*'Фінансовий потік'!EU7*'Вхідні дані'!$B$9</f>
        <v>-137811.63090128751</v>
      </c>
      <c r="EV9" s="46">
        <f>-'Вхідні дані'!$B$4/'Вхідні дані'!$B$42*'Фінансовий потік'!EV7*'Вхідні дані'!$B$9</f>
        <v>-137811.63090128751</v>
      </c>
      <c r="EW9" s="46">
        <f>-'Вхідні дані'!$B$4/'Вхідні дані'!$B$42*'Фінансовий потік'!EW7*'Вхідні дані'!$B$9</f>
        <v>-128920.55793991413</v>
      </c>
      <c r="EX9" s="46">
        <f>-'Вхідні дані'!$B$4/'Вхідні дані'!$B$42*'Фінансовий потік'!EX7*'Вхідні дані'!$B$9</f>
        <v>-137811.63090128751</v>
      </c>
      <c r="EY9" s="46">
        <f>-'Вхідні дані'!$B$4/'Вхідні дані'!$B$42*'Фінансовий потік'!EY7*'Вхідні дані'!$B$9</f>
        <v>-57791.974248927028</v>
      </c>
      <c r="EZ9" s="46">
        <f>-'Вхідні дані'!$B$4/'Вхідні дані'!$B$42*'Фінансовий потік'!EZ7*'Вхідні дані'!$B$9</f>
        <v>0</v>
      </c>
      <c r="FA9" s="46">
        <f>-'Вхідні дані'!$B$4/'Вхідні дані'!$B$42*'Фінансовий потік'!FA7*'Вхідні дані'!$B$9</f>
        <v>0</v>
      </c>
      <c r="FB9" s="46">
        <f>-'Вхідні дані'!$B$4/'Вхідні дані'!$B$42*'Фінансовий потік'!FB7*'Вхідні дані'!$B$9</f>
        <v>0</v>
      </c>
      <c r="FC9" s="46">
        <f>-'Вхідні дані'!$B$4/'Вхідні дані'!$B$42*'Фінансовий потік'!FC7*'Вхідні дані'!$B$9</f>
        <v>0</v>
      </c>
      <c r="FD9" s="46">
        <f>-'Вхідні дані'!$B$4/'Вхідні дані'!$B$42*'Фінансовий потік'!FD7*'Вхідні дані'!$B$9</f>
        <v>0</v>
      </c>
      <c r="FE9" s="46">
        <f>-'Вхідні дані'!$B$4/'Вхідні дані'!$B$42*'Фінансовий потік'!FE7*'Вхідні дані'!$B$9</f>
        <v>-62237.510729613714</v>
      </c>
      <c r="FF9" s="46">
        <f>-'Вхідні дані'!$B$4/'Вхідні дані'!$B$42*'Фінансовий потік'!FF7*'Вхідні дані'!$B$9</f>
        <v>-133366.09442060083</v>
      </c>
      <c r="FG9" s="46">
        <f>-'Вхідні дані'!$B$4/'Вхідні дані'!$B$42*'Фінансовий потік'!FG7*'Вхідні дані'!$B$9</f>
        <v>-137811.63090128751</v>
      </c>
      <c r="FH9" s="46">
        <f>-'Вхідні дані'!$B$4/'Вхідні дані'!$B$42*'Фінансовий потік'!FH7*'Вхідні дані'!$B$9</f>
        <v>-137811.63090128751</v>
      </c>
      <c r="FI9" s="46">
        <f>-'Вхідні дані'!$B$4/'Вхідні дані'!$B$42*'Фінансовий потік'!FI7*'Вхідні дані'!$B$9</f>
        <v>-128920.55793991413</v>
      </c>
      <c r="FJ9" s="46">
        <f>-'Вхідні дані'!$B$4/'Вхідні дані'!$B$42*'Фінансовий потік'!FJ7*'Вхідні дані'!$B$9</f>
        <v>-137811.63090128751</v>
      </c>
      <c r="FK9" s="46">
        <f>-'Вхідні дані'!$B$4/'Вхідні дані'!$B$42*'Фінансовий потік'!FK7*'Вхідні дані'!$B$9</f>
        <v>-57791.974248927028</v>
      </c>
      <c r="FL9" s="46">
        <f>-'Вхідні дані'!$B$4/'Вхідні дані'!$B$42*'Фінансовий потік'!FL7*'Вхідні дані'!$B$9</f>
        <v>0</v>
      </c>
      <c r="FM9" s="46">
        <f>-'Вхідні дані'!$B$4/'Вхідні дані'!$B$42*'Фінансовий потік'!FM7*'Вхідні дані'!$B$9</f>
        <v>0</v>
      </c>
      <c r="FN9" s="46">
        <f>-'Вхідні дані'!$B$4/'Вхідні дані'!$B$42*'Фінансовий потік'!FN7*'Вхідні дані'!$B$9</f>
        <v>0</v>
      </c>
      <c r="FO9" s="46">
        <f>-'Вхідні дані'!$B$4/'Вхідні дані'!$B$42*'Фінансовий потік'!FO7*'Вхідні дані'!$B$9</f>
        <v>0</v>
      </c>
      <c r="FP9" s="46">
        <f>-'Вхідні дані'!$B$4/'Вхідні дані'!$B$42*'Фінансовий потік'!FP7*'Вхідні дані'!$B$9</f>
        <v>0</v>
      </c>
      <c r="FQ9" s="46">
        <f>-'Вхідні дані'!$B$4/'Вхідні дані'!$B$42*'Фінансовий потік'!FQ7*'Вхідні дані'!$B$9</f>
        <v>-62237.510729613714</v>
      </c>
      <c r="FR9" s="46">
        <f>-'Вхідні дані'!$B$4/'Вхідні дані'!$B$42*'Фінансовий потік'!FR7*'Вхідні дані'!$B$9</f>
        <v>-133366.09442060083</v>
      </c>
      <c r="FS9" s="46">
        <f>-'Вхідні дані'!$B$4/'Вхідні дані'!$B$42*'Фінансовий потік'!FS7*'Вхідні дані'!$B$9</f>
        <v>-137811.63090128751</v>
      </c>
      <c r="FT9" s="46">
        <f>-'Вхідні дані'!$B$4/'Вхідні дані'!$B$42*'Фінансовий потік'!FT7*'Вхідні дані'!$B$9</f>
        <v>-137811.63090128751</v>
      </c>
      <c r="FU9" s="46">
        <f>-'Вхідні дані'!$B$4/'Вхідні дані'!$B$42*'Фінансовий потік'!FU7*'Вхідні дані'!$B$9</f>
        <v>-128920.55793991413</v>
      </c>
      <c r="FV9" s="46">
        <f>-'Вхідні дані'!$B$4/'Вхідні дані'!$B$42*'Фінансовий потік'!FV7*'Вхідні дані'!$B$9</f>
        <v>-137811.63090128751</v>
      </c>
      <c r="FW9" s="46">
        <f>-'Вхідні дані'!$B$4/'Вхідні дані'!$B$42*'Фінансовий потік'!FW7*'Вхідні дані'!$B$9</f>
        <v>-57791.974248927028</v>
      </c>
      <c r="FX9" s="46">
        <f>-'Вхідні дані'!$B$4/'Вхідні дані'!$B$42*'Фінансовий потік'!FX7*'Вхідні дані'!$B$9</f>
        <v>0</v>
      </c>
      <c r="FY9" s="46">
        <f>-'Вхідні дані'!$B$4/'Вхідні дані'!$B$42*'Фінансовий потік'!FY7*'Вхідні дані'!$B$9</f>
        <v>0</v>
      </c>
      <c r="FZ9" s="46">
        <f>-'Вхідні дані'!$B$4/'Вхідні дані'!$B$42*'Фінансовий потік'!FZ7*'Вхідні дані'!$B$9</f>
        <v>0</v>
      </c>
      <c r="GA9" s="46">
        <f>-'Вхідні дані'!$B$4/'Вхідні дані'!$B$42*'Фінансовий потік'!GA7*'Вхідні дані'!$B$9</f>
        <v>0</v>
      </c>
      <c r="GB9" s="46">
        <f>-'Вхідні дані'!$B$4/'Вхідні дані'!$B$42*'Фінансовий потік'!GB7*'Вхідні дані'!$B$9</f>
        <v>0</v>
      </c>
      <c r="GC9" s="46">
        <f>-'Вхідні дані'!$B$4/'Вхідні дані'!$B$42*'Фінансовий потік'!GC7*'Вхідні дані'!$B$9</f>
        <v>-62237.510729613714</v>
      </c>
      <c r="GD9" s="46">
        <f>-'Вхідні дані'!$B$4/'Вхідні дані'!$B$42*'Фінансовий потік'!GD7*'Вхідні дані'!$B$9</f>
        <v>-133366.09442060083</v>
      </c>
      <c r="GE9" s="46">
        <f>-'Вхідні дані'!$B$4/'Вхідні дані'!$B$42*'Фінансовий потік'!GE7*'Вхідні дані'!$B$9</f>
        <v>-137811.63090128751</v>
      </c>
      <c r="GF9" s="46">
        <f>-'Вхідні дані'!$B$4/'Вхідні дані'!$B$42*'Фінансовий потік'!GF7*'Вхідні дані'!$B$9</f>
        <v>-137811.63090128751</v>
      </c>
      <c r="GG9" s="46">
        <f>-'Вхідні дані'!$B$4/'Вхідні дані'!$B$42*'Фінансовий потік'!GG7*'Вхідні дані'!$B$9</f>
        <v>-128920.55793991413</v>
      </c>
      <c r="GH9" s="46">
        <f>-'Вхідні дані'!$B$4/'Вхідні дані'!$B$42*'Фінансовий потік'!GH7*'Вхідні дані'!$B$9</f>
        <v>-137811.63090128751</v>
      </c>
      <c r="GI9" s="46">
        <f>-'Вхідні дані'!$B$4/'Вхідні дані'!$B$42*'Фінансовий потік'!GI7*'Вхідні дані'!$B$9</f>
        <v>-57791.974248927028</v>
      </c>
      <c r="GJ9" s="46">
        <f>-'Вхідні дані'!$B$4/'Вхідні дані'!$B$42*'Фінансовий потік'!GJ7*'Вхідні дані'!$B$9</f>
        <v>0</v>
      </c>
      <c r="GK9" s="46">
        <f>-'Вхідні дані'!$B$4/'Вхідні дані'!$B$42*'Фінансовий потік'!GK7*'Вхідні дані'!$B$9</f>
        <v>0</v>
      </c>
      <c r="GL9" s="46">
        <f>-'Вхідні дані'!$B$4/'Вхідні дані'!$B$42*'Фінансовий потік'!GL7*'Вхідні дані'!$B$9</f>
        <v>0</v>
      </c>
      <c r="GM9" s="46">
        <f>-'Вхідні дані'!$B$4/'Вхідні дані'!$B$42*'Фінансовий потік'!GM7*'Вхідні дані'!$B$9</f>
        <v>0</v>
      </c>
      <c r="GN9" s="46">
        <f>-'Вхідні дані'!$B$4/'Вхідні дані'!$B$42*'Фінансовий потік'!GN7*'Вхідні дані'!$B$9</f>
        <v>0</v>
      </c>
      <c r="GO9" s="46">
        <f>-'Вхідні дані'!$B$4/'Вхідні дані'!$B$42*'Фінансовий потік'!GO7*'Вхідні дані'!$B$9</f>
        <v>-62237.510729613714</v>
      </c>
      <c r="GP9" s="46">
        <f>-'Вхідні дані'!$B$4/'Вхідні дані'!$B$42*'Фінансовий потік'!GP7*'Вхідні дані'!$B$9</f>
        <v>-133366.09442060083</v>
      </c>
      <c r="GQ9" s="46">
        <f>-'Вхідні дані'!$B$4/'Вхідні дані'!$B$42*'Фінансовий потік'!GQ7*'Вхідні дані'!$B$9</f>
        <v>-137811.63090128751</v>
      </c>
      <c r="GR9" s="46">
        <f>-'Вхідні дані'!$B$4/'Вхідні дані'!$B$42*'Фінансовий потік'!GR7*'Вхідні дані'!$B$9</f>
        <v>-137811.63090128751</v>
      </c>
      <c r="GS9" s="46">
        <f>-'Вхідні дані'!$B$4/'Вхідні дані'!$B$42*'Фінансовий потік'!GS7*'Вхідні дані'!$B$9</f>
        <v>-128920.55793991413</v>
      </c>
      <c r="GT9" s="46">
        <f>-'Вхідні дані'!$B$4/'Вхідні дані'!$B$42*'Фінансовий потік'!GT7*'Вхідні дані'!$B$9</f>
        <v>-137811.63090128751</v>
      </c>
      <c r="GU9" s="46">
        <f>-'Вхідні дані'!$B$4/'Вхідні дані'!$B$42*'Фінансовий потік'!GU7*'Вхідні дані'!$B$9</f>
        <v>-57791.974248927028</v>
      </c>
      <c r="GV9" s="46">
        <f>-'Вхідні дані'!$B$4/'Вхідні дані'!$B$42*'Фінансовий потік'!GV7*'Вхідні дані'!$B$9</f>
        <v>0</v>
      </c>
      <c r="GW9" s="46">
        <f>-'Вхідні дані'!$B$4/'Вхідні дані'!$B$42*'Фінансовий потік'!GW7*'Вхідні дані'!$B$9</f>
        <v>0</v>
      </c>
      <c r="GX9" s="46">
        <f>-'Вхідні дані'!$B$4/'Вхідні дані'!$B$42*'Фінансовий потік'!GX7*'Вхідні дані'!$B$9</f>
        <v>0</v>
      </c>
      <c r="GY9" s="46">
        <f>-'Вхідні дані'!$B$4/'Вхідні дані'!$B$42*'Фінансовий потік'!GY7*'Вхідні дані'!$B$9</f>
        <v>0</v>
      </c>
      <c r="GZ9" s="46">
        <f>-'Вхідні дані'!$B$4/'Вхідні дані'!$B$42*'Фінансовий потік'!GZ7*'Вхідні дані'!$B$9</f>
        <v>0</v>
      </c>
      <c r="HA9" s="46">
        <f>-'Вхідні дані'!$B$4/'Вхідні дані'!$B$42*'Фінансовий потік'!HA7*'Вхідні дані'!$B$9</f>
        <v>-62237.510729613714</v>
      </c>
      <c r="HB9" s="46">
        <f>-'Вхідні дані'!$B$4/'Вхідні дані'!$B$42*'Фінансовий потік'!HB7*'Вхідні дані'!$B$9</f>
        <v>-133366.09442060083</v>
      </c>
      <c r="HC9" s="46">
        <f>-'Вхідні дані'!$B$4/'Вхідні дані'!$B$42*'Фінансовий потік'!HC7*'Вхідні дані'!$B$9</f>
        <v>-137811.63090128751</v>
      </c>
      <c r="HD9" s="46">
        <f>-'Вхідні дані'!$B$4/'Вхідні дані'!$B$42*'Фінансовий потік'!HD7*'Вхідні дані'!$B$9</f>
        <v>-137811.63090128751</v>
      </c>
      <c r="HE9" s="46">
        <f>-'Вхідні дані'!$B$4/'Вхідні дані'!$B$42*'Фінансовий потік'!HE7*'Вхідні дані'!$B$9</f>
        <v>-128920.55793991413</v>
      </c>
      <c r="HF9" s="46">
        <f>-'Вхідні дані'!$B$4/'Вхідні дані'!$B$42*'Фінансовий потік'!HF7*'Вхідні дані'!$B$9</f>
        <v>-137811.63090128751</v>
      </c>
      <c r="HG9" s="46">
        <f>-'Вхідні дані'!$B$4/'Вхідні дані'!$B$42*'Фінансовий потік'!HG7*'Вхідні дані'!$B$9</f>
        <v>-57791.974248927028</v>
      </c>
      <c r="HH9" s="46">
        <f>-'Вхідні дані'!$B$4/'Вхідні дані'!$B$42*'Фінансовий потік'!HH7*'Вхідні дані'!$B$9</f>
        <v>0</v>
      </c>
      <c r="HI9" s="46">
        <f>-'Вхідні дані'!$B$4/'Вхідні дані'!$B$42*'Фінансовий потік'!HI7*'Вхідні дані'!$B$9</f>
        <v>0</v>
      </c>
      <c r="HJ9" s="46">
        <f>-'Вхідні дані'!$B$4/'Вхідні дані'!$B$42*'Фінансовий потік'!HJ7*'Вхідні дані'!$B$9</f>
        <v>0</v>
      </c>
      <c r="HK9" s="46">
        <f>-'Вхідні дані'!$B$4/'Вхідні дані'!$B$42*'Фінансовий потік'!HK7*'Вхідні дані'!$B$9</f>
        <v>0</v>
      </c>
      <c r="HL9" s="46">
        <f>-'Вхідні дані'!$B$4/'Вхідні дані'!$B$42*'Фінансовий потік'!HL7*'Вхідні дані'!$B$9</f>
        <v>0</v>
      </c>
      <c r="HM9" s="46">
        <f>-'Вхідні дані'!$B$4/'Вхідні дані'!$B$42*'Фінансовий потік'!HM7*'Вхідні дані'!$B$9</f>
        <v>-62237.510729613714</v>
      </c>
      <c r="HN9" s="46">
        <f>-'Вхідні дані'!$B$4/'Вхідні дані'!$B$42*'Фінансовий потік'!HN7*'Вхідні дані'!$B$9</f>
        <v>-133366.09442060083</v>
      </c>
      <c r="HO9" s="46">
        <f>-'Вхідні дані'!$B$4/'Вхідні дані'!$B$42*'Фінансовий потік'!HO7*'Вхідні дані'!$B$9</f>
        <v>-137811.63090128751</v>
      </c>
      <c r="HP9" s="46">
        <f>-'Вхідні дані'!$B$4/'Вхідні дані'!$B$42*'Фінансовий потік'!HP7*'Вхідні дані'!$B$9</f>
        <v>-137811.63090128751</v>
      </c>
      <c r="HQ9" s="46">
        <f>-'Вхідні дані'!$B$4/'Вхідні дані'!$B$42*'Фінансовий потік'!HQ7*'Вхідні дані'!$B$9</f>
        <v>-128920.55793991413</v>
      </c>
      <c r="HR9" s="46">
        <f>-'Вхідні дані'!$B$4/'Вхідні дані'!$B$42*'Фінансовий потік'!HR7*'Вхідні дані'!$B$9</f>
        <v>-137811.63090128751</v>
      </c>
      <c r="HS9" s="46">
        <f>-'Вхідні дані'!$B$4/'Вхідні дані'!$B$42*'Фінансовий потік'!HS7*'Вхідні дані'!$B$9</f>
        <v>-57791.974248927028</v>
      </c>
      <c r="HT9" s="46">
        <f>-'Вхідні дані'!$B$4/'Вхідні дані'!$B$42*'Фінансовий потік'!HT7*'Вхідні дані'!$B$9</f>
        <v>0</v>
      </c>
      <c r="HU9" s="46">
        <f>-'Вхідні дані'!$B$4/'Вхідні дані'!$B$42*'Фінансовий потік'!HU7*'Вхідні дані'!$B$9</f>
        <v>0</v>
      </c>
      <c r="HV9" s="46">
        <f>-'Вхідні дані'!$B$4/'Вхідні дані'!$B$42*'Фінансовий потік'!HV7*'Вхідні дані'!$B$9</f>
        <v>0</v>
      </c>
      <c r="HW9" s="46">
        <f>-'Вхідні дані'!$B$4/'Вхідні дані'!$B$42*'Фінансовий потік'!HW7*'Вхідні дані'!$B$9</f>
        <v>0</v>
      </c>
      <c r="HX9" s="46">
        <f>-'Вхідні дані'!$B$4/'Вхідні дані'!$B$42*'Фінансовий потік'!HX7*'Вхідні дані'!$B$9</f>
        <v>0</v>
      </c>
      <c r="HY9" s="46">
        <f>-'Вхідні дані'!$B$4/'Вхідні дані'!$B$42*'Фінансовий потік'!HY7*'Вхідні дані'!$B$9</f>
        <v>-62237.510729613714</v>
      </c>
      <c r="HZ9" s="46">
        <f>-'Вхідні дані'!$B$4/'Вхідні дані'!$B$42*'Фінансовий потік'!HZ7*'Вхідні дані'!$B$9</f>
        <v>-133366.09442060083</v>
      </c>
      <c r="IA9" s="46">
        <f>-'Вхідні дані'!$B$4/'Вхідні дані'!$B$42*'Фінансовий потік'!IA7*'Вхідні дані'!$B$9</f>
        <v>-137811.63090128751</v>
      </c>
      <c r="IB9" s="46">
        <f>-'Вхідні дані'!$B$4/'Вхідні дані'!$B$42*'Фінансовий потік'!IB7*'Вхідні дані'!$B$9</f>
        <v>-137811.63090128751</v>
      </c>
      <c r="IC9" s="46">
        <f>-'Вхідні дані'!$B$4/'Вхідні дані'!$B$42*'Фінансовий потік'!IC7*'Вхідні дані'!$B$9</f>
        <v>-128920.55793991413</v>
      </c>
      <c r="ID9" s="46">
        <f>-'Вхідні дані'!$B$4/'Вхідні дані'!$B$42*'Фінансовий потік'!ID7*'Вхідні дані'!$B$9</f>
        <v>-137811.63090128751</v>
      </c>
      <c r="IE9" s="46">
        <f>-'Вхідні дані'!$B$4/'Вхідні дані'!$B$42*'Фінансовий потік'!IE7*'Вхідні дані'!$B$9</f>
        <v>-57791.974248927028</v>
      </c>
      <c r="IF9" s="46">
        <f>-'Вхідні дані'!$B$4/'Вхідні дані'!$B$42*'Фінансовий потік'!IF7*'Вхідні дані'!$B$9</f>
        <v>0</v>
      </c>
      <c r="IG9" s="46">
        <f>-'Вхідні дані'!$B$4/'Вхідні дані'!$B$42*'Фінансовий потік'!IG7*'Вхідні дані'!$B$9</f>
        <v>0</v>
      </c>
    </row>
    <row r="10" spans="1:247" x14ac:dyDescent="0.25">
      <c r="A10" s="65" t="s">
        <v>327</v>
      </c>
      <c r="B10" s="47">
        <f t="shared" ref="B10:BM10" si="6">-B8+B9</f>
        <v>0</v>
      </c>
      <c r="C10" s="47">
        <f t="shared" si="6"/>
        <v>0</v>
      </c>
      <c r="D10" s="47">
        <f t="shared" si="6"/>
        <v>0</v>
      </c>
      <c r="E10" s="47">
        <f t="shared" si="6"/>
        <v>13016.995708154514</v>
      </c>
      <c r="F10" s="47">
        <f t="shared" si="6"/>
        <v>27893.562231759664</v>
      </c>
      <c r="G10" s="47">
        <f t="shared" si="6"/>
        <v>28823.347639484986</v>
      </c>
      <c r="H10" s="47">
        <f t="shared" si="6"/>
        <v>28823.347639484986</v>
      </c>
      <c r="I10" s="47">
        <f t="shared" si="6"/>
        <v>26963.77682403435</v>
      </c>
      <c r="J10" s="47">
        <f t="shared" si="6"/>
        <v>28823.347639484986</v>
      </c>
      <c r="K10" s="47">
        <f t="shared" si="6"/>
        <v>12087.210300429189</v>
      </c>
      <c r="L10" s="47">
        <f t="shared" si="6"/>
        <v>0</v>
      </c>
      <c r="M10" s="47">
        <f t="shared" si="6"/>
        <v>0</v>
      </c>
      <c r="N10" s="47">
        <f t="shared" si="6"/>
        <v>0</v>
      </c>
      <c r="O10" s="47">
        <f t="shared" si="6"/>
        <v>0</v>
      </c>
      <c r="P10" s="47">
        <f t="shared" si="6"/>
        <v>0</v>
      </c>
      <c r="Q10" s="47">
        <f t="shared" si="6"/>
        <v>19525.493562231772</v>
      </c>
      <c r="R10" s="47">
        <f t="shared" si="6"/>
        <v>41840.3433476395</v>
      </c>
      <c r="S10" s="47">
        <f t="shared" si="6"/>
        <v>43235.021459227486</v>
      </c>
      <c r="T10" s="47">
        <f t="shared" si="6"/>
        <v>43235.021459227486</v>
      </c>
      <c r="U10" s="47">
        <f t="shared" si="6"/>
        <v>39050.987124463543</v>
      </c>
      <c r="V10" s="47">
        <f t="shared" si="6"/>
        <v>43235.021459227486</v>
      </c>
      <c r="W10" s="47">
        <f t="shared" si="6"/>
        <v>19525.493562231772</v>
      </c>
      <c r="X10" s="47">
        <f t="shared" si="6"/>
        <v>0</v>
      </c>
      <c r="Y10" s="47">
        <f t="shared" si="6"/>
        <v>0</v>
      </c>
      <c r="Z10" s="47">
        <f t="shared" si="6"/>
        <v>0</v>
      </c>
      <c r="AA10" s="47">
        <f t="shared" si="6"/>
        <v>0</v>
      </c>
      <c r="AB10" s="47">
        <f t="shared" si="6"/>
        <v>0</v>
      </c>
      <c r="AC10" s="47">
        <f t="shared" si="6"/>
        <v>29288.240343347657</v>
      </c>
      <c r="AD10" s="47">
        <f t="shared" si="6"/>
        <v>62760.515021459258</v>
      </c>
      <c r="AE10" s="47">
        <f t="shared" si="6"/>
        <v>64852.532188841229</v>
      </c>
      <c r="AF10" s="47">
        <f t="shared" si="6"/>
        <v>64852.532188841229</v>
      </c>
      <c r="AG10" s="47">
        <f t="shared" si="6"/>
        <v>58576.480686695315</v>
      </c>
      <c r="AH10" s="47">
        <f t="shared" si="6"/>
        <v>64852.532188841229</v>
      </c>
      <c r="AI10" s="47">
        <f t="shared" si="6"/>
        <v>29288.240343347657</v>
      </c>
      <c r="AJ10" s="47">
        <f t="shared" si="6"/>
        <v>0</v>
      </c>
      <c r="AK10" s="47">
        <f t="shared" si="6"/>
        <v>0</v>
      </c>
      <c r="AL10" s="47">
        <f t="shared" si="6"/>
        <v>0</v>
      </c>
      <c r="AM10" s="47">
        <f t="shared" si="6"/>
        <v>0</v>
      </c>
      <c r="AN10" s="47">
        <f t="shared" si="6"/>
        <v>0</v>
      </c>
      <c r="AO10" s="47">
        <f t="shared" si="6"/>
        <v>29288.240343347657</v>
      </c>
      <c r="AP10" s="47">
        <f t="shared" si="6"/>
        <v>62760.515021459258</v>
      </c>
      <c r="AQ10" s="47">
        <f t="shared" si="6"/>
        <v>64852.532188841229</v>
      </c>
      <c r="AR10" s="47">
        <f t="shared" si="6"/>
        <v>64852.532188841229</v>
      </c>
      <c r="AS10" s="47">
        <f t="shared" si="6"/>
        <v>58576.480686695315</v>
      </c>
      <c r="AT10" s="47">
        <f t="shared" si="6"/>
        <v>64852.532188841229</v>
      </c>
      <c r="AU10" s="47">
        <f t="shared" si="6"/>
        <v>29288.240343347657</v>
      </c>
      <c r="AV10" s="47">
        <f t="shared" si="6"/>
        <v>0</v>
      </c>
      <c r="AW10" s="47">
        <f t="shared" si="6"/>
        <v>0</v>
      </c>
      <c r="AX10" s="47">
        <f t="shared" si="6"/>
        <v>0</v>
      </c>
      <c r="AY10" s="47">
        <f t="shared" si="6"/>
        <v>0</v>
      </c>
      <c r="AZ10" s="47">
        <f t="shared" si="6"/>
        <v>0</v>
      </c>
      <c r="BA10" s="47">
        <f t="shared" si="6"/>
        <v>29288.240343347657</v>
      </c>
      <c r="BB10" s="47">
        <f t="shared" si="6"/>
        <v>62760.515021459258</v>
      </c>
      <c r="BC10" s="47">
        <f t="shared" si="6"/>
        <v>64852.532188841229</v>
      </c>
      <c r="BD10" s="47">
        <f t="shared" si="6"/>
        <v>64852.532188841229</v>
      </c>
      <c r="BE10" s="47">
        <f t="shared" si="6"/>
        <v>60668.497854077272</v>
      </c>
      <c r="BF10" s="47">
        <f t="shared" si="6"/>
        <v>64852.532188841229</v>
      </c>
      <c r="BG10" s="47">
        <f t="shared" si="6"/>
        <v>27196.223175965672</v>
      </c>
      <c r="BH10" s="47">
        <f t="shared" si="6"/>
        <v>0</v>
      </c>
      <c r="BI10" s="47">
        <f t="shared" si="6"/>
        <v>0</v>
      </c>
      <c r="BJ10" s="47">
        <f t="shared" si="6"/>
        <v>0</v>
      </c>
      <c r="BK10" s="47">
        <f t="shared" si="6"/>
        <v>0</v>
      </c>
      <c r="BL10" s="47">
        <f t="shared" si="6"/>
        <v>0</v>
      </c>
      <c r="BM10" s="47">
        <f t="shared" si="6"/>
        <v>29288.240343347657</v>
      </c>
      <c r="BN10" s="47">
        <f t="shared" ref="BN10:DY10" si="7">-BN8+BN9</f>
        <v>62760.515021459258</v>
      </c>
      <c r="BO10" s="47">
        <f t="shared" si="7"/>
        <v>64852.532188841229</v>
      </c>
      <c r="BP10" s="47">
        <f t="shared" si="7"/>
        <v>64852.532188841229</v>
      </c>
      <c r="BQ10" s="47">
        <f t="shared" si="7"/>
        <v>60668.497854077272</v>
      </c>
      <c r="BR10" s="47">
        <f t="shared" si="7"/>
        <v>64852.532188841229</v>
      </c>
      <c r="BS10" s="47">
        <f t="shared" si="7"/>
        <v>27196.223175965672</v>
      </c>
      <c r="BT10" s="47">
        <f t="shared" si="7"/>
        <v>0</v>
      </c>
      <c r="BU10" s="47">
        <f t="shared" si="7"/>
        <v>0</v>
      </c>
      <c r="BV10" s="47">
        <f t="shared" si="7"/>
        <v>0</v>
      </c>
      <c r="BW10" s="47">
        <f t="shared" si="7"/>
        <v>0</v>
      </c>
      <c r="BX10" s="47">
        <f t="shared" si="7"/>
        <v>0</v>
      </c>
      <c r="BY10" s="47">
        <f t="shared" si="7"/>
        <v>29288.240343347657</v>
      </c>
      <c r="BZ10" s="47">
        <f t="shared" si="7"/>
        <v>62760.515021459258</v>
      </c>
      <c r="CA10" s="47">
        <f t="shared" si="7"/>
        <v>64852.532188841229</v>
      </c>
      <c r="CB10" s="47">
        <f t="shared" si="7"/>
        <v>64852.532188841229</v>
      </c>
      <c r="CC10" s="47">
        <f t="shared" si="7"/>
        <v>60668.497854077272</v>
      </c>
      <c r="CD10" s="47">
        <f t="shared" si="7"/>
        <v>64852.532188841229</v>
      </c>
      <c r="CE10" s="47">
        <f t="shared" si="7"/>
        <v>27196.223175965672</v>
      </c>
      <c r="CF10" s="47">
        <f t="shared" si="7"/>
        <v>0</v>
      </c>
      <c r="CG10" s="47">
        <f t="shared" si="7"/>
        <v>0</v>
      </c>
      <c r="CH10" s="47">
        <f t="shared" si="7"/>
        <v>0</v>
      </c>
      <c r="CI10" s="47">
        <f t="shared" si="7"/>
        <v>0</v>
      </c>
      <c r="CJ10" s="47">
        <f t="shared" si="7"/>
        <v>0</v>
      </c>
      <c r="CK10" s="47">
        <f t="shared" si="7"/>
        <v>29288.240343347657</v>
      </c>
      <c r="CL10" s="47">
        <f t="shared" si="7"/>
        <v>62760.515021459258</v>
      </c>
      <c r="CM10" s="47">
        <f t="shared" si="7"/>
        <v>64852.532188841229</v>
      </c>
      <c r="CN10" s="47">
        <f t="shared" si="7"/>
        <v>64852.532188841229</v>
      </c>
      <c r="CO10" s="47">
        <f t="shared" si="7"/>
        <v>60668.497854077272</v>
      </c>
      <c r="CP10" s="47">
        <f t="shared" si="7"/>
        <v>64852.532188841229</v>
      </c>
      <c r="CQ10" s="47">
        <f t="shared" si="7"/>
        <v>27196.223175965672</v>
      </c>
      <c r="CR10" s="47">
        <f t="shared" si="7"/>
        <v>0</v>
      </c>
      <c r="CS10" s="47">
        <f t="shared" si="7"/>
        <v>0</v>
      </c>
      <c r="CT10" s="47">
        <f t="shared" si="7"/>
        <v>0</v>
      </c>
      <c r="CU10" s="47">
        <f t="shared" si="7"/>
        <v>0</v>
      </c>
      <c r="CV10" s="47">
        <f t="shared" si="7"/>
        <v>0</v>
      </c>
      <c r="CW10" s="47">
        <f t="shared" si="7"/>
        <v>29288.240343347657</v>
      </c>
      <c r="CX10" s="47">
        <f t="shared" si="7"/>
        <v>62760.515021459258</v>
      </c>
      <c r="CY10" s="47">
        <f t="shared" si="7"/>
        <v>64852.532188841229</v>
      </c>
      <c r="CZ10" s="47">
        <f t="shared" si="7"/>
        <v>64852.532188841229</v>
      </c>
      <c r="DA10" s="47">
        <f t="shared" si="7"/>
        <v>60668.497854077272</v>
      </c>
      <c r="DB10" s="47">
        <f t="shared" si="7"/>
        <v>64852.532188841229</v>
      </c>
      <c r="DC10" s="47">
        <f t="shared" si="7"/>
        <v>27196.223175965672</v>
      </c>
      <c r="DD10" s="47">
        <f t="shared" si="7"/>
        <v>0</v>
      </c>
      <c r="DE10" s="47">
        <f t="shared" si="7"/>
        <v>0</v>
      </c>
      <c r="DF10" s="47">
        <f t="shared" si="7"/>
        <v>0</v>
      </c>
      <c r="DG10" s="47">
        <f t="shared" si="7"/>
        <v>0</v>
      </c>
      <c r="DH10" s="47">
        <f t="shared" si="7"/>
        <v>0</v>
      </c>
      <c r="DI10" s="47">
        <f t="shared" si="7"/>
        <v>29288.240343347657</v>
      </c>
      <c r="DJ10" s="47">
        <f t="shared" si="7"/>
        <v>62760.515021459258</v>
      </c>
      <c r="DK10" s="47">
        <f t="shared" si="7"/>
        <v>64852.532188841229</v>
      </c>
      <c r="DL10" s="47">
        <f t="shared" si="7"/>
        <v>64852.532188841229</v>
      </c>
      <c r="DM10" s="47">
        <f t="shared" si="7"/>
        <v>60668.497854077272</v>
      </c>
      <c r="DN10" s="47">
        <f t="shared" si="7"/>
        <v>64852.532188841229</v>
      </c>
      <c r="DO10" s="47">
        <f t="shared" si="7"/>
        <v>27196.223175965672</v>
      </c>
      <c r="DP10" s="47">
        <f t="shared" si="7"/>
        <v>0</v>
      </c>
      <c r="DQ10" s="47">
        <f t="shared" si="7"/>
        <v>0</v>
      </c>
      <c r="DR10" s="47">
        <f t="shared" si="7"/>
        <v>0</v>
      </c>
      <c r="DS10" s="47">
        <f t="shared" si="7"/>
        <v>0</v>
      </c>
      <c r="DT10" s="47">
        <f t="shared" si="7"/>
        <v>0</v>
      </c>
      <c r="DU10" s="47">
        <f t="shared" si="7"/>
        <v>29288.240343347657</v>
      </c>
      <c r="DV10" s="47">
        <f t="shared" si="7"/>
        <v>62760.515021459258</v>
      </c>
      <c r="DW10" s="47">
        <f t="shared" si="7"/>
        <v>64852.532188841229</v>
      </c>
      <c r="DX10" s="47">
        <f t="shared" si="7"/>
        <v>64852.532188841229</v>
      </c>
      <c r="DY10" s="47">
        <f t="shared" si="7"/>
        <v>60668.497854077272</v>
      </c>
      <c r="DZ10" s="47">
        <f t="shared" ref="DZ10:GK10" si="8">-DZ8+DZ9</f>
        <v>64852.532188841229</v>
      </c>
      <c r="EA10" s="47">
        <f t="shared" si="8"/>
        <v>27196.223175965672</v>
      </c>
      <c r="EB10" s="47">
        <f t="shared" si="8"/>
        <v>0</v>
      </c>
      <c r="EC10" s="47">
        <f t="shared" si="8"/>
        <v>0</v>
      </c>
      <c r="ED10" s="47">
        <f t="shared" si="8"/>
        <v>0</v>
      </c>
      <c r="EE10" s="47">
        <f t="shared" si="8"/>
        <v>0</v>
      </c>
      <c r="EF10" s="47">
        <f t="shared" si="8"/>
        <v>0</v>
      </c>
      <c r="EG10" s="47">
        <f t="shared" si="8"/>
        <v>29288.240343347657</v>
      </c>
      <c r="EH10" s="47">
        <f t="shared" si="8"/>
        <v>62760.515021459258</v>
      </c>
      <c r="EI10" s="47">
        <f t="shared" si="8"/>
        <v>64852.532188841229</v>
      </c>
      <c r="EJ10" s="47">
        <f t="shared" si="8"/>
        <v>64852.532188841229</v>
      </c>
      <c r="EK10" s="47">
        <f t="shared" si="8"/>
        <v>60668.497854077272</v>
      </c>
      <c r="EL10" s="47">
        <f t="shared" si="8"/>
        <v>64852.532188841229</v>
      </c>
      <c r="EM10" s="47">
        <f t="shared" si="8"/>
        <v>27196.223175965672</v>
      </c>
      <c r="EN10" s="47">
        <f t="shared" si="8"/>
        <v>0</v>
      </c>
      <c r="EO10" s="47">
        <f t="shared" si="8"/>
        <v>0</v>
      </c>
      <c r="EP10" s="47">
        <f t="shared" si="8"/>
        <v>0</v>
      </c>
      <c r="EQ10" s="47">
        <f t="shared" si="8"/>
        <v>0</v>
      </c>
      <c r="ER10" s="47">
        <f t="shared" si="8"/>
        <v>0</v>
      </c>
      <c r="ES10" s="47">
        <f t="shared" si="8"/>
        <v>29288.240343347657</v>
      </c>
      <c r="ET10" s="47">
        <f t="shared" si="8"/>
        <v>62760.515021459258</v>
      </c>
      <c r="EU10" s="47">
        <f t="shared" si="8"/>
        <v>64852.532188841229</v>
      </c>
      <c r="EV10" s="47">
        <f t="shared" si="8"/>
        <v>64852.532188841229</v>
      </c>
      <c r="EW10" s="47">
        <f t="shared" si="8"/>
        <v>60668.497854077272</v>
      </c>
      <c r="EX10" s="47">
        <f t="shared" si="8"/>
        <v>64852.532188841229</v>
      </c>
      <c r="EY10" s="47">
        <f t="shared" si="8"/>
        <v>27196.223175965672</v>
      </c>
      <c r="EZ10" s="47">
        <f t="shared" si="8"/>
        <v>0</v>
      </c>
      <c r="FA10" s="47">
        <f t="shared" si="8"/>
        <v>0</v>
      </c>
      <c r="FB10" s="47">
        <f t="shared" si="8"/>
        <v>0</v>
      </c>
      <c r="FC10" s="47">
        <f t="shared" si="8"/>
        <v>0</v>
      </c>
      <c r="FD10" s="47">
        <f t="shared" si="8"/>
        <v>0</v>
      </c>
      <c r="FE10" s="47">
        <f t="shared" si="8"/>
        <v>29288.240343347657</v>
      </c>
      <c r="FF10" s="47">
        <f t="shared" si="8"/>
        <v>62760.515021459258</v>
      </c>
      <c r="FG10" s="47">
        <f t="shared" si="8"/>
        <v>64852.532188841229</v>
      </c>
      <c r="FH10" s="47">
        <f t="shared" si="8"/>
        <v>64852.532188841229</v>
      </c>
      <c r="FI10" s="47">
        <f t="shared" si="8"/>
        <v>60668.497854077272</v>
      </c>
      <c r="FJ10" s="47">
        <f t="shared" si="8"/>
        <v>64852.532188841229</v>
      </c>
      <c r="FK10" s="47">
        <f t="shared" si="8"/>
        <v>27196.223175965672</v>
      </c>
      <c r="FL10" s="47">
        <f t="shared" si="8"/>
        <v>0</v>
      </c>
      <c r="FM10" s="47">
        <f t="shared" si="8"/>
        <v>0</v>
      </c>
      <c r="FN10" s="47">
        <f t="shared" si="8"/>
        <v>0</v>
      </c>
      <c r="FO10" s="47">
        <f t="shared" si="8"/>
        <v>0</v>
      </c>
      <c r="FP10" s="47">
        <f t="shared" si="8"/>
        <v>0</v>
      </c>
      <c r="FQ10" s="47">
        <f t="shared" si="8"/>
        <v>29288.240343347657</v>
      </c>
      <c r="FR10" s="47">
        <f t="shared" si="8"/>
        <v>62760.515021459258</v>
      </c>
      <c r="FS10" s="47">
        <f t="shared" si="8"/>
        <v>64852.532188841229</v>
      </c>
      <c r="FT10" s="47">
        <f t="shared" si="8"/>
        <v>64852.532188841229</v>
      </c>
      <c r="FU10" s="47">
        <f t="shared" si="8"/>
        <v>60668.497854077272</v>
      </c>
      <c r="FV10" s="47">
        <f t="shared" si="8"/>
        <v>64852.532188841229</v>
      </c>
      <c r="FW10" s="47">
        <f t="shared" si="8"/>
        <v>27196.223175965672</v>
      </c>
      <c r="FX10" s="47">
        <f t="shared" si="8"/>
        <v>0</v>
      </c>
      <c r="FY10" s="47">
        <f t="shared" si="8"/>
        <v>0</v>
      </c>
      <c r="FZ10" s="47">
        <f t="shared" si="8"/>
        <v>0</v>
      </c>
      <c r="GA10" s="47">
        <f t="shared" si="8"/>
        <v>0</v>
      </c>
      <c r="GB10" s="47">
        <f t="shared" si="8"/>
        <v>0</v>
      </c>
      <c r="GC10" s="47">
        <f t="shared" si="8"/>
        <v>29288.240343347657</v>
      </c>
      <c r="GD10" s="47">
        <f t="shared" si="8"/>
        <v>62760.515021459258</v>
      </c>
      <c r="GE10" s="47">
        <f t="shared" si="8"/>
        <v>64852.532188841229</v>
      </c>
      <c r="GF10" s="47">
        <f t="shared" si="8"/>
        <v>64852.532188841229</v>
      </c>
      <c r="GG10" s="47">
        <f t="shared" si="8"/>
        <v>60668.497854077272</v>
      </c>
      <c r="GH10" s="47">
        <f t="shared" si="8"/>
        <v>64852.532188841229</v>
      </c>
      <c r="GI10" s="47">
        <f t="shared" si="8"/>
        <v>27196.223175965672</v>
      </c>
      <c r="GJ10" s="47">
        <f t="shared" si="8"/>
        <v>0</v>
      </c>
      <c r="GK10" s="47">
        <f t="shared" si="8"/>
        <v>0</v>
      </c>
      <c r="GL10" s="47">
        <f t="shared" ref="GL10:IG10" si="9">-GL8+GL9</f>
        <v>0</v>
      </c>
      <c r="GM10" s="47">
        <f t="shared" si="9"/>
        <v>0</v>
      </c>
      <c r="GN10" s="47">
        <f t="shared" si="9"/>
        <v>0</v>
      </c>
      <c r="GO10" s="47">
        <f t="shared" si="9"/>
        <v>29288.240343347657</v>
      </c>
      <c r="GP10" s="47">
        <f t="shared" si="9"/>
        <v>62760.515021459258</v>
      </c>
      <c r="GQ10" s="47">
        <f t="shared" si="9"/>
        <v>64852.532188841229</v>
      </c>
      <c r="GR10" s="47">
        <f t="shared" si="9"/>
        <v>64852.532188841229</v>
      </c>
      <c r="GS10" s="47">
        <f t="shared" si="9"/>
        <v>60668.497854077272</v>
      </c>
      <c r="GT10" s="47">
        <f t="shared" si="9"/>
        <v>64852.532188841229</v>
      </c>
      <c r="GU10" s="47">
        <f t="shared" si="9"/>
        <v>27196.223175965672</v>
      </c>
      <c r="GV10" s="47">
        <f t="shared" si="9"/>
        <v>0</v>
      </c>
      <c r="GW10" s="47">
        <f t="shared" si="9"/>
        <v>0</v>
      </c>
      <c r="GX10" s="47">
        <f t="shared" si="9"/>
        <v>0</v>
      </c>
      <c r="GY10" s="47">
        <f t="shared" si="9"/>
        <v>0</v>
      </c>
      <c r="GZ10" s="47">
        <f t="shared" si="9"/>
        <v>0</v>
      </c>
      <c r="HA10" s="47">
        <f t="shared" si="9"/>
        <v>29288.240343347657</v>
      </c>
      <c r="HB10" s="47">
        <f t="shared" si="9"/>
        <v>62760.515021459258</v>
      </c>
      <c r="HC10" s="47">
        <f t="shared" si="9"/>
        <v>64852.532188841229</v>
      </c>
      <c r="HD10" s="47">
        <f t="shared" si="9"/>
        <v>64852.532188841229</v>
      </c>
      <c r="HE10" s="47">
        <f t="shared" si="9"/>
        <v>60668.497854077272</v>
      </c>
      <c r="HF10" s="47">
        <f t="shared" si="9"/>
        <v>64852.532188841229</v>
      </c>
      <c r="HG10" s="47">
        <f t="shared" si="9"/>
        <v>27196.223175965672</v>
      </c>
      <c r="HH10" s="47">
        <f t="shared" si="9"/>
        <v>0</v>
      </c>
      <c r="HI10" s="47">
        <f t="shared" si="9"/>
        <v>0</v>
      </c>
      <c r="HJ10" s="47">
        <f t="shared" si="9"/>
        <v>0</v>
      </c>
      <c r="HK10" s="47">
        <f t="shared" si="9"/>
        <v>0</v>
      </c>
      <c r="HL10" s="47">
        <f t="shared" si="9"/>
        <v>0</v>
      </c>
      <c r="HM10" s="47">
        <f t="shared" si="9"/>
        <v>29288.240343347657</v>
      </c>
      <c r="HN10" s="47">
        <f t="shared" si="9"/>
        <v>62760.515021459258</v>
      </c>
      <c r="HO10" s="47">
        <f t="shared" si="9"/>
        <v>64852.532188841229</v>
      </c>
      <c r="HP10" s="47">
        <f t="shared" si="9"/>
        <v>64852.532188841229</v>
      </c>
      <c r="HQ10" s="47">
        <f t="shared" si="9"/>
        <v>60668.497854077272</v>
      </c>
      <c r="HR10" s="47">
        <f t="shared" si="9"/>
        <v>64852.532188841229</v>
      </c>
      <c r="HS10" s="47">
        <f t="shared" si="9"/>
        <v>27196.223175965672</v>
      </c>
      <c r="HT10" s="47">
        <f t="shared" si="9"/>
        <v>0</v>
      </c>
      <c r="HU10" s="47">
        <f t="shared" si="9"/>
        <v>0</v>
      </c>
      <c r="HV10" s="47">
        <f t="shared" si="9"/>
        <v>0</v>
      </c>
      <c r="HW10" s="47">
        <f t="shared" si="9"/>
        <v>0</v>
      </c>
      <c r="HX10" s="47">
        <f t="shared" si="9"/>
        <v>0</v>
      </c>
      <c r="HY10" s="47">
        <f t="shared" si="9"/>
        <v>29288.240343347657</v>
      </c>
      <c r="HZ10" s="47">
        <f t="shared" si="9"/>
        <v>62760.515021459258</v>
      </c>
      <c r="IA10" s="47">
        <f t="shared" si="9"/>
        <v>64852.532188841229</v>
      </c>
      <c r="IB10" s="47">
        <f t="shared" si="9"/>
        <v>64852.532188841229</v>
      </c>
      <c r="IC10" s="47">
        <f t="shared" si="9"/>
        <v>60668.497854077272</v>
      </c>
      <c r="ID10" s="47">
        <f t="shared" si="9"/>
        <v>64852.532188841229</v>
      </c>
      <c r="IE10" s="47">
        <f t="shared" si="9"/>
        <v>27196.223175965672</v>
      </c>
      <c r="IF10" s="47">
        <f t="shared" si="9"/>
        <v>0</v>
      </c>
      <c r="IG10" s="47">
        <f t="shared" si="9"/>
        <v>0</v>
      </c>
    </row>
    <row r="11" spans="1:247" x14ac:dyDescent="0.25">
      <c r="A11" s="65" t="s">
        <v>606</v>
      </c>
      <c r="B11" s="47"/>
      <c r="C11" s="47">
        <f>(ОСББ!$D$31-ОСББ!$D$36)*ОСББ!$E$24/12*'Вхідні дані'!$B$10</f>
        <v>1074.2148559999996</v>
      </c>
      <c r="D11" s="47">
        <f>(ОСББ!$D$31-ОСББ!$D$36)*ОСББ!$E$24/12*'Вхідні дані'!$B$10</f>
        <v>1074.2148559999996</v>
      </c>
      <c r="E11" s="47">
        <f>(ОСББ!$D$31-ОСББ!$D$36)*ОСББ!$E$24/12*'Вхідні дані'!$B$10</f>
        <v>1074.2148559999996</v>
      </c>
      <c r="F11" s="47">
        <f>(ОСББ!$D$31-ОСББ!$D$36)*ОСББ!$E$24/12*'Вхідні дані'!$B$10</f>
        <v>1074.2148559999996</v>
      </c>
      <c r="G11" s="47">
        <f>(ОСББ!$D$31-ОСББ!$D$36)*ОСББ!$E$24/12*'Вхідні дані'!$B$10</f>
        <v>1074.2148559999996</v>
      </c>
      <c r="H11" s="47">
        <f>(ОСББ!$D$31-ОСББ!$D$36)*ОСББ!$E$24/12*'Вхідні дані'!$B$11</f>
        <v>1611.3222839999994</v>
      </c>
      <c r="I11" s="47">
        <f>(ОСББ!$D$31-ОСББ!$D$36)*ОСББ!$E$24/12*'Вхідні дані'!$B$11</f>
        <v>1611.3222839999994</v>
      </c>
      <c r="J11" s="47">
        <f>(ОСББ!$D$31-ОСББ!$D$36)*ОСББ!$E$24/12*'Вхідні дані'!$B$11</f>
        <v>1611.3222839999994</v>
      </c>
      <c r="K11" s="47">
        <f>(ОСББ!$D$31-ОСББ!$D$36)*ОСББ!$E$24/12*'Вхідні дані'!$B$11</f>
        <v>1611.3222839999994</v>
      </c>
      <c r="L11" s="47">
        <f>(ОСББ!$D$31-ОСББ!$D$36)*ОСББ!$E$24/12*'Вхідні дані'!$B$11</f>
        <v>1611.3222839999994</v>
      </c>
      <c r="M11" s="47">
        <f>(ОСББ!$D$31-ОСББ!$D$36)*ОСББ!$E$24/12*'Вхідні дані'!$B$11</f>
        <v>1611.3222839999994</v>
      </c>
      <c r="N11" s="47">
        <f>(ОСББ!$D$31-ОСББ!$D$36)*ОСББ!$E$24/12*'Вхідні дані'!$B$11</f>
        <v>1611.3222839999994</v>
      </c>
      <c r="O11" s="47">
        <f>(ОСББ!$D$31-ОСББ!$D$36)*ОСББ!$E$24/12*'Вхідні дані'!$B$11</f>
        <v>1611.3222839999994</v>
      </c>
      <c r="P11" s="47">
        <f>(ОСББ!$D$31-ОСББ!$D$36)*ОСББ!$E$24/12*'Вхідні дані'!$B$11</f>
        <v>1611.3222839999994</v>
      </c>
      <c r="Q11" s="47">
        <f>(ОСББ!$D$31-ОСББ!$D$36)*ОСББ!$E$24/12*'Вхідні дані'!$B$11</f>
        <v>1611.3222839999994</v>
      </c>
      <c r="R11" s="47">
        <f>(ОСББ!$D$31-ОСББ!$D$36)*ОСББ!$E$24/12*'Вхідні дані'!$B$11</f>
        <v>1611.3222839999994</v>
      </c>
      <c r="S11" s="47">
        <f>(ОСББ!$D$31-ОСББ!$D$36)*ОСББ!$E$24/12*'Вхідні дані'!$B$11</f>
        <v>1611.3222839999994</v>
      </c>
      <c r="T11" s="47">
        <f>(ОСББ!$D$31-ОСББ!$D$36)*ОСББ!$E$24/12*'Вхідні дані'!$B$12</f>
        <v>2416.9834259999993</v>
      </c>
      <c r="U11" s="47">
        <f>(ОСББ!$D$31-ОСББ!$D$36)*ОСББ!$E$24/12*'Вхідні дані'!$B$12</f>
        <v>2416.9834259999993</v>
      </c>
      <c r="V11" s="47">
        <f>(ОСББ!$D$31-ОСББ!$D$36)*ОСББ!$E$24/12*'Вхідні дані'!$B$12</f>
        <v>2416.9834259999993</v>
      </c>
      <c r="W11" s="47">
        <f>(ОСББ!$D$31-ОСББ!$D$36)*ОСББ!$E$24/12*'Вхідні дані'!$B$12</f>
        <v>2416.9834259999993</v>
      </c>
      <c r="X11" s="47">
        <f>(ОСББ!$D$31-ОСББ!$D$36)*ОСББ!$E$24/12*'Вхідні дані'!$B$12</f>
        <v>2416.9834259999993</v>
      </c>
      <c r="Y11" s="47">
        <f>(ОСББ!$D$31-ОСББ!$D$36)*ОСББ!$E$24/12*'Вхідні дані'!$B$12</f>
        <v>2416.9834259999993</v>
      </c>
      <c r="Z11" s="47">
        <f>(ОСББ!$D$31-ОСББ!$D$36)*ОСББ!$E$24/12*'Вхідні дані'!$B$12</f>
        <v>2416.9834259999993</v>
      </c>
      <c r="AA11" s="47">
        <f>(ОСББ!$D$31-ОСББ!$D$36)*ОСББ!$E$24/12*'Вхідні дані'!$B$12</f>
        <v>2416.9834259999993</v>
      </c>
      <c r="AB11" s="47">
        <f>(ОСББ!$D$31-ОСББ!$D$36)*ОСББ!$E$24/12*'Вхідні дані'!$B$12</f>
        <v>2416.9834259999993</v>
      </c>
      <c r="AC11" s="47">
        <f>(ОСББ!$D$31-ОСББ!$D$36)*ОСББ!$E$24/12*'Вхідні дані'!$B$12</f>
        <v>2416.9834259999993</v>
      </c>
      <c r="AD11" s="47">
        <f>(ОСББ!$D$31-ОСББ!$D$36)*ОСББ!$E$24/12*'Вхідні дані'!$B$12</f>
        <v>2416.9834259999993</v>
      </c>
      <c r="AE11" s="47">
        <f>(ОСББ!$D$31-ОСББ!$D$36)*ОСББ!$E$24/12*'Вхідні дані'!$B$12</f>
        <v>2416.9834259999993</v>
      </c>
      <c r="AF11" s="47">
        <f>(ОСББ!$D$31-ОСББ!$D$36)*ОСББ!$E$24/12*'Вхідні дані'!$B$12</f>
        <v>2416.9834259999993</v>
      </c>
      <c r="AG11" s="47">
        <f>(ОСББ!$D$31-ОСББ!$D$36)*ОСББ!$E$24/12*'Вхідні дані'!$B$12</f>
        <v>2416.9834259999993</v>
      </c>
      <c r="AH11" s="47">
        <f>(ОСББ!$D$31-ОСББ!$D$36)*ОСББ!$E$24/12*'Вхідні дані'!$B$12</f>
        <v>2416.9834259999993</v>
      </c>
      <c r="AI11" s="47">
        <f>(ОСББ!$D$31-ОСББ!$D$36)*ОСББ!$E$24/12*'Вхідні дані'!$B$12</f>
        <v>2416.9834259999993</v>
      </c>
      <c r="AJ11" s="47">
        <f>(ОСББ!$D$31-ОСББ!$D$36)*ОСББ!$E$24/12*'Вхідні дані'!$B$12</f>
        <v>2416.9834259999993</v>
      </c>
      <c r="AK11" s="47">
        <f>(ОСББ!$D$31-ОСББ!$D$36)*ОСББ!$E$24/12*'Вхідні дані'!$B$12</f>
        <v>2416.9834259999993</v>
      </c>
      <c r="AL11" s="47">
        <f>(ОСББ!$D$31-ОСББ!$D$36)*ОСББ!$E$24/12*'Вхідні дані'!$B$12</f>
        <v>2416.9834259999993</v>
      </c>
      <c r="AM11" s="47">
        <f>(ОСББ!$D$31-ОСББ!$D$36)*ОСББ!$E$24/12*'Вхідні дані'!$B$12</f>
        <v>2416.9834259999993</v>
      </c>
      <c r="AN11" s="47">
        <f>(ОСББ!$D$31-ОСББ!$D$36)*ОСББ!$E$24/12*'Вхідні дані'!$B$12</f>
        <v>2416.9834259999993</v>
      </c>
      <c r="AO11" s="47">
        <f>(ОСББ!$D$31-ОСББ!$D$36)*ОСББ!$E$24/12*'Вхідні дані'!$B$12</f>
        <v>2416.9834259999993</v>
      </c>
      <c r="AP11" s="47">
        <f>(ОСББ!$D$31-ОСББ!$D$36)*ОСББ!$E$24/12*'Вхідні дані'!$B$12</f>
        <v>2416.9834259999993</v>
      </c>
      <c r="AQ11" s="47">
        <f>(ОСББ!$D$31-ОСББ!$D$36)*ОСББ!$E$24/12*'Вхідні дані'!$B$12</f>
        <v>2416.9834259999993</v>
      </c>
      <c r="AR11" s="47">
        <f>(ОСББ!$D$31-ОСББ!$D$36)*ОСББ!$E$24/12*'Вхідні дані'!$B$12</f>
        <v>2416.9834259999993</v>
      </c>
      <c r="AS11" s="47">
        <f>(ОСББ!$D$31-ОСББ!$D$36)*ОСББ!$E$24/12*'Вхідні дані'!$B$12</f>
        <v>2416.9834259999993</v>
      </c>
      <c r="AT11" s="47">
        <f>(ОСББ!$D$31-ОСББ!$D$36)*ОСББ!$E$24/12*'Вхідні дані'!$B$12</f>
        <v>2416.9834259999993</v>
      </c>
      <c r="AU11" s="47">
        <f>(ОСББ!$D$31-ОСББ!$D$36)*ОСББ!$E$24/12*'Вхідні дані'!$B$12</f>
        <v>2416.9834259999993</v>
      </c>
      <c r="AV11" s="47">
        <f>(ОСББ!$D$31-ОСББ!$D$36)*ОСББ!$E$24/12*'Вхідні дані'!$B$12</f>
        <v>2416.9834259999993</v>
      </c>
      <c r="AW11" s="47">
        <f>(ОСББ!$D$31-ОСББ!$D$36)*ОСББ!$E$24/12*'Вхідні дані'!$B$12</f>
        <v>2416.9834259999993</v>
      </c>
      <c r="AX11" s="47">
        <f>(ОСББ!$D$31-ОСББ!$D$36)*ОСББ!$E$24/12*'Вхідні дані'!$B$12</f>
        <v>2416.9834259999993</v>
      </c>
      <c r="AY11" s="47">
        <f>(ОСББ!$D$31-ОСББ!$D$36)*ОСББ!$E$24/12*'Вхідні дані'!$B$12</f>
        <v>2416.9834259999993</v>
      </c>
      <c r="AZ11" s="47">
        <f>(ОСББ!$D$31-ОСББ!$D$36)*ОСББ!$E$24/12*'Вхідні дані'!$B$12</f>
        <v>2416.9834259999993</v>
      </c>
      <c r="BA11" s="47">
        <f>(ОСББ!$D$31-ОСББ!$D$36)*ОСББ!$E$24/12*'Вхідні дані'!$B$12</f>
        <v>2416.9834259999993</v>
      </c>
      <c r="BB11" s="47">
        <f>(ОСББ!$D$31-ОСББ!$D$36)*ОСББ!$E$24/12*'Вхідні дані'!$B$12</f>
        <v>2416.9834259999993</v>
      </c>
      <c r="BC11" s="47">
        <f>(ОСББ!$D$31-ОСББ!$D$36)*ОСББ!$E$24/12*'Вхідні дані'!$B$12</f>
        <v>2416.9834259999993</v>
      </c>
      <c r="BD11" s="47">
        <f>(ОСББ!$D$31-ОСББ!$D$36)*ОСББ!$E$24/12*'Вхідні дані'!$B$12</f>
        <v>2416.9834259999993</v>
      </c>
      <c r="BE11" s="47">
        <f>(ОСББ!$D$31-ОСББ!$D$36)*ОСББ!$E$24/12*'Вхідні дані'!$B$12</f>
        <v>2416.9834259999993</v>
      </c>
      <c r="BF11" s="47">
        <f>(ОСББ!$D$31-ОСББ!$D$36)*ОСББ!$E$24/12*'Вхідні дані'!$B$12</f>
        <v>2416.9834259999993</v>
      </c>
      <c r="BG11" s="47">
        <f>(ОСББ!$D$31-ОСББ!$D$36)*ОСББ!$E$24/12*'Вхідні дані'!$B$12</f>
        <v>2416.9834259999993</v>
      </c>
      <c r="BH11" s="47">
        <f>(ОСББ!$D$31-ОСББ!$D$36)*ОСББ!$E$24/12*'Вхідні дані'!$B$12</f>
        <v>2416.9834259999993</v>
      </c>
      <c r="BI11" s="47">
        <f>(ОСББ!$D$31-ОСББ!$D$36)*ОСББ!$E$24/12*'Вхідні дані'!$B$12</f>
        <v>2416.9834259999993</v>
      </c>
      <c r="BJ11" s="47">
        <f>(ОСББ!$D$31-ОСББ!$D$36)*ОСББ!$E$24/12*'Вхідні дані'!$B$12</f>
        <v>2416.9834259999993</v>
      </c>
      <c r="BK11" s="47">
        <f>(ОСББ!$D$31-ОСББ!$D$36)*ОСББ!$E$24/12*'Вхідні дані'!$B$12</f>
        <v>2416.9834259999993</v>
      </c>
      <c r="BL11" s="47">
        <f>(ОСББ!$D$31-ОСББ!$D$36)*ОСББ!$E$24/12*'Вхідні дані'!$B$12</f>
        <v>2416.9834259999993</v>
      </c>
      <c r="BM11" s="47">
        <f>(ОСББ!$D$31-ОСББ!$D$36)*ОСББ!$E$24/12*'Вхідні дані'!$B$12</f>
        <v>2416.9834259999993</v>
      </c>
      <c r="BN11" s="47">
        <f>(ОСББ!$D$31-ОСББ!$D$36)*ОСББ!$E$24/12*'Вхідні дані'!$B$12</f>
        <v>2416.9834259999993</v>
      </c>
      <c r="BO11" s="47">
        <f>(ОСББ!$D$31-ОСББ!$D$36)*ОСББ!$E$24/12*'Вхідні дані'!$B$12</f>
        <v>2416.9834259999993</v>
      </c>
      <c r="BP11" s="47">
        <f>(ОСББ!$D$31-ОСББ!$D$36)*ОСББ!$E$24/12*'Вхідні дані'!$B$12</f>
        <v>2416.9834259999993</v>
      </c>
      <c r="BQ11" s="47">
        <f>(ОСББ!$D$31-ОСББ!$D$36)*ОСББ!$E$24/12*'Вхідні дані'!$B$12</f>
        <v>2416.9834259999993</v>
      </c>
      <c r="BR11" s="47">
        <f>(ОСББ!$D$31-ОСББ!$D$36)*ОСББ!$E$24/12*'Вхідні дані'!$B$12</f>
        <v>2416.9834259999993</v>
      </c>
      <c r="BS11" s="47">
        <f>(ОСББ!$D$31-ОСББ!$D$36)*ОСББ!$E$24/12*'Вхідні дані'!$B$12</f>
        <v>2416.9834259999993</v>
      </c>
      <c r="BT11" s="47">
        <f>(ОСББ!$D$31-ОСББ!$D$36)*ОСББ!$E$24/12*'Вхідні дані'!$B$12</f>
        <v>2416.9834259999993</v>
      </c>
      <c r="BU11" s="47">
        <f>(ОСББ!$D$31-ОСББ!$D$36)*ОСББ!$E$24/12*'Вхідні дані'!$B$12</f>
        <v>2416.9834259999993</v>
      </c>
      <c r="BV11" s="47">
        <f>(ОСББ!$D$31-ОСББ!$D$36)*ОСББ!$E$24/12*'Вхідні дані'!$B$12</f>
        <v>2416.9834259999993</v>
      </c>
      <c r="BW11" s="47">
        <f>(ОСББ!$D$31-ОСББ!$D$36)*ОСББ!$E$24/12*'Вхідні дані'!$B$12</f>
        <v>2416.9834259999993</v>
      </c>
      <c r="BX11" s="47">
        <f>(ОСББ!$D$31-ОСББ!$D$36)*ОСББ!$E$24/12*'Вхідні дані'!$B$12</f>
        <v>2416.9834259999993</v>
      </c>
      <c r="BY11" s="47">
        <f>(ОСББ!$D$31-ОСББ!$D$36)*ОСББ!$E$24/12*'Вхідні дані'!$B$12</f>
        <v>2416.9834259999993</v>
      </c>
      <c r="BZ11" s="47">
        <f>(ОСББ!$D$31-ОСББ!$D$36)*ОСББ!$E$24/12*'Вхідні дані'!$B$12</f>
        <v>2416.9834259999993</v>
      </c>
      <c r="CA11" s="47">
        <f>(ОСББ!$D$31-ОСББ!$D$36)*ОСББ!$E$24/12*'Вхідні дані'!$B$12</f>
        <v>2416.9834259999993</v>
      </c>
      <c r="CB11" s="47">
        <f>(ОСББ!$D$31-ОСББ!$D$36)*ОСББ!$E$24/12*'Вхідні дані'!$B$12</f>
        <v>2416.9834259999993</v>
      </c>
      <c r="CC11" s="47">
        <f>(ОСББ!$D$31-ОСББ!$D$36)*ОСББ!$E$24/12*'Вхідні дані'!$B$12</f>
        <v>2416.9834259999993</v>
      </c>
      <c r="CD11" s="47">
        <f>(ОСББ!$D$31-ОСББ!$D$36)*ОСББ!$E$24/12*'Вхідні дані'!$B$12</f>
        <v>2416.9834259999993</v>
      </c>
      <c r="CE11" s="47">
        <f>(ОСББ!$D$31-ОСББ!$D$36)*ОСББ!$E$24/12*'Вхідні дані'!$B$12</f>
        <v>2416.9834259999993</v>
      </c>
      <c r="CF11" s="47">
        <f>(ОСББ!$D$31-ОСББ!$D$36)*ОСББ!$E$24/12*'Вхідні дані'!$B$12</f>
        <v>2416.9834259999993</v>
      </c>
      <c r="CG11" s="47">
        <f>(ОСББ!$D$31-ОСББ!$D$36)*ОСББ!$E$24/12*'Вхідні дані'!$B$12</f>
        <v>2416.9834259999993</v>
      </c>
      <c r="CH11" s="47">
        <f>(ОСББ!$D$31-ОСББ!$D$36)*ОСББ!$E$24/12*'Вхідні дані'!$B$12</f>
        <v>2416.9834259999993</v>
      </c>
      <c r="CI11" s="47">
        <f>(ОСББ!$D$31-ОСББ!$D$36)*ОСББ!$E$24/12*'Вхідні дані'!$B$12</f>
        <v>2416.9834259999993</v>
      </c>
      <c r="CJ11" s="47">
        <f>(ОСББ!$D$31-ОСББ!$D$36)*ОСББ!$E$24/12*'Вхідні дані'!$B$12</f>
        <v>2416.9834259999993</v>
      </c>
      <c r="CK11" s="47">
        <f>(ОСББ!$D$31-ОСББ!$D$36)*ОСББ!$E$24/12*'Вхідні дані'!$B$12</f>
        <v>2416.9834259999993</v>
      </c>
      <c r="CL11" s="47">
        <f>(ОСББ!$D$31-ОСББ!$D$36)*ОСББ!$E$24/12*'Вхідні дані'!$B$12</f>
        <v>2416.9834259999993</v>
      </c>
      <c r="CM11" s="47">
        <f>(ОСББ!$D$31-ОСББ!$D$36)*ОСББ!$E$24/12*'Вхідні дані'!$B$12</f>
        <v>2416.9834259999993</v>
      </c>
      <c r="CN11" s="47">
        <f>(ОСББ!$D$31-ОСББ!$D$36)*ОСББ!$E$24/12*'Вхідні дані'!$B$12</f>
        <v>2416.9834259999993</v>
      </c>
      <c r="CO11" s="47">
        <f>(ОСББ!$D$31-ОСББ!$D$36)*ОСББ!$E$24/12*'Вхідні дані'!$B$12</f>
        <v>2416.9834259999993</v>
      </c>
      <c r="CP11" s="47">
        <f>(ОСББ!$D$31-ОСББ!$D$36)*ОСББ!$E$24/12*'Вхідні дані'!$B$12</f>
        <v>2416.9834259999993</v>
      </c>
      <c r="CQ11" s="47">
        <f>(ОСББ!$D$31-ОСББ!$D$36)*ОСББ!$E$24/12*'Вхідні дані'!$B$12</f>
        <v>2416.9834259999993</v>
      </c>
      <c r="CR11" s="47">
        <f>(ОСББ!$D$31-ОСББ!$D$36)*ОСББ!$E$24/12*'Вхідні дані'!$B$12</f>
        <v>2416.9834259999993</v>
      </c>
      <c r="CS11" s="47">
        <f>(ОСББ!$D$31-ОСББ!$D$36)*ОСББ!$E$24/12*'Вхідні дані'!$B$12</f>
        <v>2416.9834259999993</v>
      </c>
      <c r="CT11" s="47">
        <f>(ОСББ!$D$31-ОСББ!$D$36)*ОСББ!$E$24/12*'Вхідні дані'!$B$12</f>
        <v>2416.9834259999993</v>
      </c>
      <c r="CU11" s="47">
        <f>(ОСББ!$D$31-ОСББ!$D$36)*ОСББ!$E$24/12*'Вхідні дані'!$B$12</f>
        <v>2416.9834259999993</v>
      </c>
      <c r="CV11" s="47">
        <f>(ОСББ!$D$31-ОСББ!$D$36)*ОСББ!$E$24/12*'Вхідні дані'!$B$12</f>
        <v>2416.9834259999993</v>
      </c>
      <c r="CW11" s="47">
        <f>(ОСББ!$D$31-ОСББ!$D$36)*ОСББ!$E$24/12*'Вхідні дані'!$B$12</f>
        <v>2416.9834259999993</v>
      </c>
      <c r="CX11" s="47">
        <f>(ОСББ!$D$31-ОСББ!$D$36)*ОСББ!$E$24/12*'Вхідні дані'!$B$12</f>
        <v>2416.9834259999993</v>
      </c>
      <c r="CY11" s="47">
        <f>(ОСББ!$D$31-ОСББ!$D$36)*ОСББ!$E$24/12*'Вхідні дані'!$B$12</f>
        <v>2416.9834259999993</v>
      </c>
      <c r="CZ11" s="47">
        <f>(ОСББ!$D$31-ОСББ!$D$36)*ОСББ!$E$24/12*'Вхідні дані'!$B$12</f>
        <v>2416.9834259999993</v>
      </c>
      <c r="DA11" s="47">
        <f>(ОСББ!$D$31-ОСББ!$D$36)*ОСББ!$E$24/12*'Вхідні дані'!$B$12</f>
        <v>2416.9834259999993</v>
      </c>
      <c r="DB11" s="47">
        <f>(ОСББ!$D$31-ОСББ!$D$36)*ОСББ!$E$24/12*'Вхідні дані'!$B$12</f>
        <v>2416.9834259999993</v>
      </c>
      <c r="DC11" s="47">
        <f>(ОСББ!$D$31-ОСББ!$D$36)*ОСББ!$E$24/12*'Вхідні дані'!$B$12</f>
        <v>2416.9834259999993</v>
      </c>
      <c r="DD11" s="47">
        <f>(ОСББ!$D$31-ОСББ!$D$36)*ОСББ!$E$24/12*'Вхідні дані'!$B$12</f>
        <v>2416.9834259999993</v>
      </c>
      <c r="DE11" s="47">
        <f>(ОСББ!$D$31-ОСББ!$D$36)*ОСББ!$E$24/12*'Вхідні дані'!$B$12</f>
        <v>2416.9834259999993</v>
      </c>
      <c r="DF11" s="47">
        <f>(ОСББ!$D$31-ОСББ!$D$36)*ОСББ!$E$24/12*'Вхідні дані'!$B$12</f>
        <v>2416.9834259999993</v>
      </c>
      <c r="DG11" s="47">
        <f>(ОСББ!$D$31-ОСББ!$D$36)*ОСББ!$E$24/12*'Вхідні дані'!$B$12</f>
        <v>2416.9834259999993</v>
      </c>
      <c r="DH11" s="47">
        <f>(ОСББ!$D$31-ОСББ!$D$36)*ОСББ!$E$24/12*'Вхідні дані'!$B$12</f>
        <v>2416.9834259999993</v>
      </c>
      <c r="DI11" s="47">
        <f>(ОСББ!$D$31-ОСББ!$D$36)*ОСББ!$E$24/12*'Вхідні дані'!$B$12</f>
        <v>2416.9834259999993</v>
      </c>
      <c r="DJ11" s="47">
        <f>(ОСББ!$D$31-ОСББ!$D$36)*ОСББ!$E$24/12*'Вхідні дані'!$B$12</f>
        <v>2416.9834259999993</v>
      </c>
      <c r="DK11" s="47">
        <f>(ОСББ!$D$31-ОСББ!$D$36)*ОСББ!$E$24/12*'Вхідні дані'!$B$12</f>
        <v>2416.9834259999993</v>
      </c>
      <c r="DL11" s="47">
        <f>(ОСББ!$D$31-ОСББ!$D$36)*ОСББ!$E$24/12*'Вхідні дані'!$B$12</f>
        <v>2416.9834259999993</v>
      </c>
      <c r="DM11" s="47">
        <f>(ОСББ!$D$31-ОСББ!$D$36)*ОСББ!$E$24/12*'Вхідні дані'!$B$12</f>
        <v>2416.9834259999993</v>
      </c>
      <c r="DN11" s="47">
        <f>(ОСББ!$D$31-ОСББ!$D$36)*ОСББ!$E$24/12*'Вхідні дані'!$B$12</f>
        <v>2416.9834259999993</v>
      </c>
      <c r="DO11" s="47">
        <f>(ОСББ!$D$31-ОСББ!$D$36)*ОСББ!$E$24/12*'Вхідні дані'!$B$12</f>
        <v>2416.9834259999993</v>
      </c>
      <c r="DP11" s="47">
        <f>(ОСББ!$D$31-ОСББ!$D$36)*ОСББ!$E$24/12*'Вхідні дані'!$B$12</f>
        <v>2416.9834259999993</v>
      </c>
      <c r="DQ11" s="47">
        <f>(ОСББ!$D$31-ОСББ!$D$36)*ОСББ!$E$24/12*'Вхідні дані'!$B$12</f>
        <v>2416.9834259999993</v>
      </c>
      <c r="DR11" s="47">
        <f>(ОСББ!$D$31-ОСББ!$D$36)*ОСББ!$E$24/12*'Вхідні дані'!$B$12</f>
        <v>2416.9834259999993</v>
      </c>
      <c r="DS11" s="47">
        <f>(ОСББ!$D$31-ОСББ!$D$36)*ОСББ!$E$24/12*'Вхідні дані'!$B$12</f>
        <v>2416.9834259999993</v>
      </c>
      <c r="DT11" s="47">
        <f>(ОСББ!$D$31-ОСББ!$D$36)*ОСББ!$E$24/12*'Вхідні дані'!$B$12</f>
        <v>2416.9834259999993</v>
      </c>
      <c r="DU11" s="47">
        <f>(ОСББ!$D$31-ОСББ!$D$36)*ОСББ!$E$24/12*'Вхідні дані'!$B$12</f>
        <v>2416.9834259999993</v>
      </c>
      <c r="DV11" s="47">
        <f>(ОСББ!$D$31-ОСББ!$D$36)*ОСББ!$E$24/12*'Вхідні дані'!$B$12</f>
        <v>2416.9834259999993</v>
      </c>
      <c r="DW11" s="47">
        <f>(ОСББ!$D$31-ОСББ!$D$36)*ОСББ!$E$24/12*'Вхідні дані'!$B$12</f>
        <v>2416.9834259999993</v>
      </c>
      <c r="DX11" s="47">
        <f>(ОСББ!$D$31-ОСББ!$D$36)*ОСББ!$E$24/12*'Вхідні дані'!$B$12</f>
        <v>2416.9834259999993</v>
      </c>
      <c r="DY11" s="47">
        <f>(ОСББ!$D$31-ОСББ!$D$36)*ОСББ!$E$24/12*'Вхідні дані'!$B$12</f>
        <v>2416.9834259999993</v>
      </c>
      <c r="DZ11" s="47">
        <f>(ОСББ!$D$31-ОСББ!$D$36)*ОСББ!$E$24/12*'Вхідні дані'!$B$12</f>
        <v>2416.9834259999993</v>
      </c>
      <c r="EA11" s="47">
        <f>(ОСББ!$D$31-ОСББ!$D$36)*ОСББ!$E$24/12*'Вхідні дані'!$B$12</f>
        <v>2416.9834259999993</v>
      </c>
      <c r="EB11" s="47">
        <f>(ОСББ!$D$31-ОСББ!$D$36)*ОСББ!$E$24/12*'Вхідні дані'!$B$12</f>
        <v>2416.9834259999993</v>
      </c>
      <c r="EC11" s="47">
        <f>(ОСББ!$D$31-ОСББ!$D$36)*ОСББ!$E$24/12*'Вхідні дані'!$B$12</f>
        <v>2416.9834259999993</v>
      </c>
      <c r="ED11" s="47">
        <f>(ОСББ!$D$31-ОСББ!$D$36)*ОСББ!$E$24/12*'Вхідні дані'!$B$12</f>
        <v>2416.9834259999993</v>
      </c>
      <c r="EE11" s="47">
        <f>(ОСББ!$D$31-ОСББ!$D$36)*ОСББ!$E$24/12*'Вхідні дані'!$B$12</f>
        <v>2416.9834259999993</v>
      </c>
      <c r="EF11" s="47">
        <f>(ОСББ!$D$31-ОСББ!$D$36)*ОСББ!$E$24/12*'Вхідні дані'!$B$12</f>
        <v>2416.9834259999993</v>
      </c>
      <c r="EG11" s="47">
        <f>(ОСББ!$D$31-ОСББ!$D$36)*ОСББ!$E$24/12*'Вхідні дані'!$B$12</f>
        <v>2416.9834259999993</v>
      </c>
      <c r="EH11" s="47">
        <f>(ОСББ!$D$31-ОСББ!$D$36)*ОСББ!$E$24/12*'Вхідні дані'!$B$12</f>
        <v>2416.9834259999993</v>
      </c>
      <c r="EI11" s="47">
        <f>(ОСББ!$D$31-ОСББ!$D$36)*ОСББ!$E$24/12*'Вхідні дані'!$B$12</f>
        <v>2416.9834259999993</v>
      </c>
      <c r="EJ11" s="47">
        <f>(ОСББ!$D$31-ОСББ!$D$36)*ОСББ!$E$24/12*'Вхідні дані'!$B$12</f>
        <v>2416.9834259999993</v>
      </c>
      <c r="EK11" s="47">
        <f>(ОСББ!$D$31-ОСББ!$D$36)*ОСББ!$E$24/12*'Вхідні дані'!$B$12</f>
        <v>2416.9834259999993</v>
      </c>
      <c r="EL11" s="47">
        <f>(ОСББ!$D$31-ОСББ!$D$36)*ОСББ!$E$24/12*'Вхідні дані'!$B$12</f>
        <v>2416.9834259999993</v>
      </c>
      <c r="EM11" s="47">
        <f>(ОСББ!$D$31-ОСББ!$D$36)*ОСББ!$E$24/12*'Вхідні дані'!$B$12</f>
        <v>2416.9834259999993</v>
      </c>
      <c r="EN11" s="47">
        <f>(ОСББ!$D$31-ОСББ!$D$36)*ОСББ!$E$24/12*'Вхідні дані'!$B$12</f>
        <v>2416.9834259999993</v>
      </c>
      <c r="EO11" s="47">
        <f>(ОСББ!$D$31-ОСББ!$D$36)*ОСББ!$E$24/12*'Вхідні дані'!$B$12</f>
        <v>2416.9834259999993</v>
      </c>
      <c r="EP11" s="47">
        <f>(ОСББ!$D$31-ОСББ!$D$36)*ОСББ!$E$24/12*'Вхідні дані'!$B$12</f>
        <v>2416.9834259999993</v>
      </c>
      <c r="EQ11" s="47">
        <f>(ОСББ!$D$31-ОСББ!$D$36)*ОСББ!$E$24/12*'Вхідні дані'!$B$12</f>
        <v>2416.9834259999993</v>
      </c>
      <c r="ER11" s="47">
        <f>(ОСББ!$D$31-ОСББ!$D$36)*ОСББ!$E$24/12*'Вхідні дані'!$B$12</f>
        <v>2416.9834259999993</v>
      </c>
      <c r="ES11" s="47">
        <f>(ОСББ!$D$31-ОСББ!$D$36)*ОСББ!$E$24/12*'Вхідні дані'!$B$12</f>
        <v>2416.9834259999993</v>
      </c>
      <c r="ET11" s="47">
        <f>(ОСББ!$D$31-ОСББ!$D$36)*ОСББ!$E$24/12*'Вхідні дані'!$B$12</f>
        <v>2416.9834259999993</v>
      </c>
      <c r="EU11" s="47">
        <f>(ОСББ!$D$31-ОСББ!$D$36)*ОСББ!$E$24/12*'Вхідні дані'!$B$12</f>
        <v>2416.9834259999993</v>
      </c>
      <c r="EV11" s="47">
        <f>(ОСББ!$D$31-ОСББ!$D$36)*ОСББ!$E$24/12*'Вхідні дані'!$B$12</f>
        <v>2416.9834259999993</v>
      </c>
      <c r="EW11" s="47">
        <f>(ОСББ!$D$31-ОСББ!$D$36)*ОСББ!$E$24/12*'Вхідні дані'!$B$12</f>
        <v>2416.9834259999993</v>
      </c>
      <c r="EX11" s="47">
        <f>(ОСББ!$D$31-ОСББ!$D$36)*ОСББ!$E$24/12*'Вхідні дані'!$B$12</f>
        <v>2416.9834259999993</v>
      </c>
      <c r="EY11" s="47">
        <f>(ОСББ!$D$31-ОСББ!$D$36)*ОСББ!$E$24/12*'Вхідні дані'!$B$12</f>
        <v>2416.9834259999993</v>
      </c>
      <c r="EZ11" s="47">
        <f>(ОСББ!$D$31-ОСББ!$D$36)*ОСББ!$E$24/12*'Вхідні дані'!$B$12</f>
        <v>2416.9834259999993</v>
      </c>
      <c r="FA11" s="47">
        <f>(ОСББ!$D$31-ОСББ!$D$36)*ОСББ!$E$24/12*'Вхідні дані'!$B$12</f>
        <v>2416.9834259999993</v>
      </c>
      <c r="FB11" s="47">
        <f>(ОСББ!$D$31-ОСББ!$D$36)*ОСББ!$E$24/12*'Вхідні дані'!$B$12</f>
        <v>2416.9834259999993</v>
      </c>
      <c r="FC11" s="47">
        <f>(ОСББ!$D$31-ОСББ!$D$36)*ОСББ!$E$24/12*'Вхідні дані'!$B$12</f>
        <v>2416.9834259999993</v>
      </c>
      <c r="FD11" s="47">
        <f>(ОСББ!$D$31-ОСББ!$D$36)*ОСББ!$E$24/12*'Вхідні дані'!$B$12</f>
        <v>2416.9834259999993</v>
      </c>
      <c r="FE11" s="47">
        <f>(ОСББ!$D$31-ОСББ!$D$36)*ОСББ!$E$24/12*'Вхідні дані'!$B$12</f>
        <v>2416.9834259999993</v>
      </c>
      <c r="FF11" s="47">
        <f>(ОСББ!$D$31-ОСББ!$D$36)*ОСББ!$E$24/12*'Вхідні дані'!$B$12</f>
        <v>2416.9834259999993</v>
      </c>
      <c r="FG11" s="47">
        <f>(ОСББ!$D$31-ОСББ!$D$36)*ОСББ!$E$24/12*'Вхідні дані'!$B$12</f>
        <v>2416.9834259999993</v>
      </c>
      <c r="FH11" s="47">
        <f>(ОСББ!$D$31-ОСББ!$D$36)*ОСББ!$E$24/12*'Вхідні дані'!$B$12</f>
        <v>2416.9834259999993</v>
      </c>
      <c r="FI11" s="47">
        <f>(ОСББ!$D$31-ОСББ!$D$36)*ОСББ!$E$24/12*'Вхідні дані'!$B$12</f>
        <v>2416.9834259999993</v>
      </c>
      <c r="FJ11" s="47">
        <f>(ОСББ!$D$31-ОСББ!$D$36)*ОСББ!$E$24/12*'Вхідні дані'!$B$12</f>
        <v>2416.9834259999993</v>
      </c>
      <c r="FK11" s="47">
        <f>(ОСББ!$D$31-ОСББ!$D$36)*ОСББ!$E$24/12*'Вхідні дані'!$B$12</f>
        <v>2416.9834259999993</v>
      </c>
      <c r="FL11" s="47">
        <f>(ОСББ!$D$31-ОСББ!$D$36)*ОСББ!$E$24/12*'Вхідні дані'!$B$12</f>
        <v>2416.9834259999993</v>
      </c>
      <c r="FM11" s="47">
        <f>(ОСББ!$D$31-ОСББ!$D$36)*ОСББ!$E$24/12*'Вхідні дані'!$B$12</f>
        <v>2416.9834259999993</v>
      </c>
      <c r="FN11" s="47">
        <f>(ОСББ!$D$31-ОСББ!$D$36)*ОСББ!$E$24/12*'Вхідні дані'!$B$12</f>
        <v>2416.9834259999993</v>
      </c>
      <c r="FO11" s="47">
        <f>(ОСББ!$D$31-ОСББ!$D$36)*ОСББ!$E$24/12*'Вхідні дані'!$B$12</f>
        <v>2416.9834259999993</v>
      </c>
      <c r="FP11" s="47">
        <f>(ОСББ!$D$31-ОСББ!$D$36)*ОСББ!$E$24/12*'Вхідні дані'!$B$12</f>
        <v>2416.9834259999993</v>
      </c>
      <c r="FQ11" s="47">
        <f>(ОСББ!$D$31-ОСББ!$D$36)*ОСББ!$E$24/12*'Вхідні дані'!$B$12</f>
        <v>2416.9834259999993</v>
      </c>
      <c r="FR11" s="47">
        <f>(ОСББ!$D$31-ОСББ!$D$36)*ОСББ!$E$24/12*'Вхідні дані'!$B$12</f>
        <v>2416.9834259999993</v>
      </c>
      <c r="FS11" s="47">
        <f>(ОСББ!$D$31-ОСББ!$D$36)*ОСББ!$E$24/12*'Вхідні дані'!$B$12</f>
        <v>2416.9834259999993</v>
      </c>
      <c r="FT11" s="47">
        <f>(ОСББ!$D$31-ОСББ!$D$36)*ОСББ!$E$24/12*'Вхідні дані'!$B$12</f>
        <v>2416.9834259999993</v>
      </c>
      <c r="FU11" s="47">
        <f>(ОСББ!$D$31-ОСББ!$D$36)*ОСББ!$E$24/12*'Вхідні дані'!$B$12</f>
        <v>2416.9834259999993</v>
      </c>
      <c r="FV11" s="47">
        <f>(ОСББ!$D$31-ОСББ!$D$36)*ОСББ!$E$24/12*'Вхідні дані'!$B$12</f>
        <v>2416.9834259999993</v>
      </c>
      <c r="FW11" s="47">
        <f>(ОСББ!$D$31-ОСББ!$D$36)*ОСББ!$E$24/12*'Вхідні дані'!$B$12</f>
        <v>2416.9834259999993</v>
      </c>
      <c r="FX11" s="47">
        <f>(ОСББ!$D$31-ОСББ!$D$36)*ОСББ!$E$24/12*'Вхідні дані'!$B$12</f>
        <v>2416.9834259999993</v>
      </c>
      <c r="FY11" s="47">
        <f>(ОСББ!$D$31-ОСББ!$D$36)*ОСББ!$E$24/12*'Вхідні дані'!$B$12</f>
        <v>2416.9834259999993</v>
      </c>
      <c r="FZ11" s="47">
        <f>(ОСББ!$D$31-ОСББ!$D$36)*ОСББ!$E$24/12*'Вхідні дані'!$B$12</f>
        <v>2416.9834259999993</v>
      </c>
      <c r="GA11" s="47">
        <f>(ОСББ!$D$31-ОСББ!$D$36)*ОСББ!$E$24/12*'Вхідні дані'!$B$12</f>
        <v>2416.9834259999993</v>
      </c>
      <c r="GB11" s="47">
        <f>(ОСББ!$D$31-ОСББ!$D$36)*ОСББ!$E$24/12*'Вхідні дані'!$B$12</f>
        <v>2416.9834259999993</v>
      </c>
      <c r="GC11" s="47">
        <f>(ОСББ!$D$31-ОСББ!$D$36)*ОСББ!$E$24/12*'Вхідні дані'!$B$12</f>
        <v>2416.9834259999993</v>
      </c>
      <c r="GD11" s="47">
        <f>(ОСББ!$D$31-ОСББ!$D$36)*ОСББ!$E$24/12*'Вхідні дані'!$B$12</f>
        <v>2416.9834259999993</v>
      </c>
      <c r="GE11" s="47">
        <f>(ОСББ!$D$31-ОСББ!$D$36)*ОСББ!$E$24/12*'Вхідні дані'!$B$12</f>
        <v>2416.9834259999993</v>
      </c>
      <c r="GF11" s="47">
        <f>(ОСББ!$D$31-ОСББ!$D$36)*ОСББ!$E$24/12*'Вхідні дані'!$B$12</f>
        <v>2416.9834259999993</v>
      </c>
      <c r="GG11" s="47">
        <f>(ОСББ!$D$31-ОСББ!$D$36)*ОСББ!$E$24/12*'Вхідні дані'!$B$12</f>
        <v>2416.9834259999993</v>
      </c>
      <c r="GH11" s="47">
        <f>(ОСББ!$D$31-ОСББ!$D$36)*ОСББ!$E$24/12*'Вхідні дані'!$B$12</f>
        <v>2416.9834259999993</v>
      </c>
      <c r="GI11" s="47">
        <f>(ОСББ!$D$31-ОСББ!$D$36)*ОСББ!$E$24/12*'Вхідні дані'!$B$12</f>
        <v>2416.9834259999993</v>
      </c>
      <c r="GJ11" s="47">
        <f>(ОСББ!$D$31-ОСББ!$D$36)*ОСББ!$E$24/12*'Вхідні дані'!$B$12</f>
        <v>2416.9834259999993</v>
      </c>
      <c r="GK11" s="47">
        <f>(ОСББ!$D$31-ОСББ!$D$36)*ОСББ!$E$24/12*'Вхідні дані'!$B$12</f>
        <v>2416.9834259999993</v>
      </c>
      <c r="GL11" s="47">
        <f>(ОСББ!$D$31-ОСББ!$D$36)*ОСББ!$E$24/12*'Вхідні дані'!$B$12</f>
        <v>2416.9834259999993</v>
      </c>
      <c r="GM11" s="47">
        <f>(ОСББ!$D$31-ОСББ!$D$36)*ОСББ!$E$24/12*'Вхідні дані'!$B$12</f>
        <v>2416.9834259999993</v>
      </c>
      <c r="GN11" s="47">
        <f>(ОСББ!$D$31-ОСББ!$D$36)*ОСББ!$E$24/12*'Вхідні дані'!$B$12</f>
        <v>2416.9834259999993</v>
      </c>
      <c r="GO11" s="47">
        <f>(ОСББ!$D$31-ОСББ!$D$36)*ОСББ!$E$24/12*'Вхідні дані'!$B$12</f>
        <v>2416.9834259999993</v>
      </c>
      <c r="GP11" s="47">
        <f>(ОСББ!$D$31-ОСББ!$D$36)*ОСББ!$E$24/12*'Вхідні дані'!$B$12</f>
        <v>2416.9834259999993</v>
      </c>
      <c r="GQ11" s="47">
        <f>(ОСББ!$D$31-ОСББ!$D$36)*ОСББ!$E$24/12*'Вхідні дані'!$B$12</f>
        <v>2416.9834259999993</v>
      </c>
      <c r="GR11" s="47">
        <f>(ОСББ!$D$31-ОСББ!$D$36)*ОСББ!$E$24/12*'Вхідні дані'!$B$12</f>
        <v>2416.9834259999993</v>
      </c>
      <c r="GS11" s="47">
        <f>(ОСББ!$D$31-ОСББ!$D$36)*ОСББ!$E$24/12*'Вхідні дані'!$B$12</f>
        <v>2416.9834259999993</v>
      </c>
      <c r="GT11" s="47">
        <f>(ОСББ!$D$31-ОСББ!$D$36)*ОСББ!$E$24/12*'Вхідні дані'!$B$12</f>
        <v>2416.9834259999993</v>
      </c>
      <c r="GU11" s="47">
        <f>(ОСББ!$D$31-ОСББ!$D$36)*ОСББ!$E$24/12*'Вхідні дані'!$B$12</f>
        <v>2416.9834259999993</v>
      </c>
      <c r="GV11" s="47">
        <f>(ОСББ!$D$31-ОСББ!$D$36)*ОСББ!$E$24/12*'Вхідні дані'!$B$12</f>
        <v>2416.9834259999993</v>
      </c>
      <c r="GW11" s="47">
        <f>(ОСББ!$D$31-ОСББ!$D$36)*ОСББ!$E$24/12*'Вхідні дані'!$B$12</f>
        <v>2416.9834259999993</v>
      </c>
      <c r="GX11" s="47">
        <f>(ОСББ!$D$31-ОСББ!$D$36)*ОСББ!$E$24/12*'Вхідні дані'!$B$12</f>
        <v>2416.9834259999993</v>
      </c>
      <c r="GY11" s="47">
        <f>(ОСББ!$D$31-ОСББ!$D$36)*ОСББ!$E$24/12*'Вхідні дані'!$B$12</f>
        <v>2416.9834259999993</v>
      </c>
      <c r="GZ11" s="47">
        <f>(ОСББ!$D$31-ОСББ!$D$36)*ОСББ!$E$24/12*'Вхідні дані'!$B$12</f>
        <v>2416.9834259999993</v>
      </c>
      <c r="HA11" s="47">
        <f>(ОСББ!$D$31-ОСББ!$D$36)*ОСББ!$E$24/12*'Вхідні дані'!$B$12</f>
        <v>2416.9834259999993</v>
      </c>
      <c r="HB11" s="47">
        <f>(ОСББ!$D$31-ОСББ!$D$36)*ОСББ!$E$24/12*'Вхідні дані'!$B$12</f>
        <v>2416.9834259999993</v>
      </c>
      <c r="HC11" s="47">
        <f>(ОСББ!$D$31-ОСББ!$D$36)*ОСББ!$E$24/12*'Вхідні дані'!$B$12</f>
        <v>2416.9834259999993</v>
      </c>
      <c r="HD11" s="47">
        <f>(ОСББ!$D$31-ОСББ!$D$36)*ОСББ!$E$24/12*'Вхідні дані'!$B$12</f>
        <v>2416.9834259999993</v>
      </c>
      <c r="HE11" s="47">
        <f>(ОСББ!$D$31-ОСББ!$D$36)*ОСББ!$E$24/12*'Вхідні дані'!$B$12</f>
        <v>2416.9834259999993</v>
      </c>
      <c r="HF11" s="47">
        <f>(ОСББ!$D$31-ОСББ!$D$36)*ОСББ!$E$24/12*'Вхідні дані'!$B$12</f>
        <v>2416.9834259999993</v>
      </c>
      <c r="HG11" s="47">
        <f>(ОСББ!$D$31-ОСББ!$D$36)*ОСББ!$E$24/12*'Вхідні дані'!$B$12</f>
        <v>2416.9834259999993</v>
      </c>
      <c r="HH11" s="47">
        <f>(ОСББ!$D$31-ОСББ!$D$36)*ОСББ!$E$24/12*'Вхідні дані'!$B$12</f>
        <v>2416.9834259999993</v>
      </c>
      <c r="HI11" s="47">
        <f>(ОСББ!$D$31-ОСББ!$D$36)*ОСББ!$E$24/12*'Вхідні дані'!$B$12</f>
        <v>2416.9834259999993</v>
      </c>
      <c r="HJ11" s="47">
        <f>(ОСББ!$D$31-ОСББ!$D$36)*ОСББ!$E$24/12*'Вхідні дані'!$B$12</f>
        <v>2416.9834259999993</v>
      </c>
      <c r="HK11" s="47">
        <f>(ОСББ!$D$31-ОСББ!$D$36)*ОСББ!$E$24/12*'Вхідні дані'!$B$12</f>
        <v>2416.9834259999993</v>
      </c>
      <c r="HL11" s="47">
        <f>(ОСББ!$D$31-ОСББ!$D$36)*ОСББ!$E$24/12*'Вхідні дані'!$B$12</f>
        <v>2416.9834259999993</v>
      </c>
      <c r="HM11" s="47">
        <f>(ОСББ!$D$31-ОСББ!$D$36)*ОСББ!$E$24/12*'Вхідні дані'!$B$12</f>
        <v>2416.9834259999993</v>
      </c>
      <c r="HN11" s="47">
        <f>(ОСББ!$D$31-ОСББ!$D$36)*ОСББ!$E$24/12*'Вхідні дані'!$B$12</f>
        <v>2416.9834259999993</v>
      </c>
      <c r="HO11" s="47">
        <f>(ОСББ!$D$31-ОСББ!$D$36)*ОСББ!$E$24/12*'Вхідні дані'!$B$12</f>
        <v>2416.9834259999993</v>
      </c>
      <c r="HP11" s="47">
        <f>(ОСББ!$D$31-ОСББ!$D$36)*ОСББ!$E$24/12*'Вхідні дані'!$B$12</f>
        <v>2416.9834259999993</v>
      </c>
      <c r="HQ11" s="47">
        <f>(ОСББ!$D$31-ОСББ!$D$36)*ОСББ!$E$24/12*'Вхідні дані'!$B$12</f>
        <v>2416.9834259999993</v>
      </c>
      <c r="HR11" s="47">
        <f>(ОСББ!$D$31-ОСББ!$D$36)*ОСББ!$E$24/12*'Вхідні дані'!$B$12</f>
        <v>2416.9834259999993</v>
      </c>
      <c r="HS11" s="47">
        <f>(ОСББ!$D$31-ОСББ!$D$36)*ОСББ!$E$24/12*'Вхідні дані'!$B$12</f>
        <v>2416.9834259999993</v>
      </c>
      <c r="HT11" s="47">
        <f>(ОСББ!$D$31-ОСББ!$D$36)*ОСББ!$E$24/12*'Вхідні дані'!$B$12</f>
        <v>2416.9834259999993</v>
      </c>
      <c r="HU11" s="47">
        <f>(ОСББ!$D$31-ОСББ!$D$36)*ОСББ!$E$24/12*'Вхідні дані'!$B$12</f>
        <v>2416.9834259999993</v>
      </c>
      <c r="HV11" s="47">
        <f>(ОСББ!$D$31-ОСББ!$D$36)*ОСББ!$E$24/12*'Вхідні дані'!$B$12</f>
        <v>2416.9834259999993</v>
      </c>
      <c r="HW11" s="47">
        <f>(ОСББ!$D$31-ОСББ!$D$36)*ОСББ!$E$24/12*'Вхідні дані'!$B$12</f>
        <v>2416.9834259999993</v>
      </c>
      <c r="HX11" s="47">
        <f>(ОСББ!$D$31-ОСББ!$D$36)*ОСББ!$E$24/12*'Вхідні дані'!$B$12</f>
        <v>2416.9834259999993</v>
      </c>
      <c r="HY11" s="47">
        <f>(ОСББ!$D$31-ОСББ!$D$36)*ОСББ!$E$24/12*'Вхідні дані'!$B$12</f>
        <v>2416.9834259999993</v>
      </c>
      <c r="HZ11" s="47">
        <f>(ОСББ!$D$31-ОСББ!$D$36)*ОСББ!$E$24/12*'Вхідні дані'!$B$12</f>
        <v>2416.9834259999993</v>
      </c>
      <c r="IA11" s="47">
        <f>(ОСББ!$D$31-ОСББ!$D$36)*ОСББ!$E$24/12*'Вхідні дані'!$B$12</f>
        <v>2416.9834259999993</v>
      </c>
      <c r="IB11" s="47">
        <f>(ОСББ!$D$31-ОСББ!$D$36)*ОСББ!$E$24/12*'Вхідні дані'!$B$12</f>
        <v>2416.9834259999993</v>
      </c>
      <c r="IC11" s="47">
        <f>(ОСББ!$D$31-ОСББ!$D$36)*ОСББ!$E$24/12*'Вхідні дані'!$B$12</f>
        <v>2416.9834259999993</v>
      </c>
      <c r="ID11" s="47">
        <f>(ОСББ!$D$31-ОСББ!$D$36)*ОСББ!$E$24/12*'Вхідні дані'!$B$12</f>
        <v>2416.9834259999993</v>
      </c>
      <c r="IE11" s="47">
        <f>(ОСББ!$D$31-ОСББ!$D$36)*ОСББ!$E$24/12*'Вхідні дані'!$B$12</f>
        <v>2416.9834259999993</v>
      </c>
      <c r="IF11" s="47">
        <f>(ОСББ!$D$31-ОСББ!$D$36)*ОСББ!$E$24/12*'Вхідні дані'!$B$12</f>
        <v>2416.9834259999993</v>
      </c>
      <c r="IG11" s="47">
        <f>(ОСББ!$D$31-ОСББ!$D$36)*ОСББ!$E$24/12*'Вхідні дані'!$B$12</f>
        <v>2416.9834259999993</v>
      </c>
    </row>
    <row r="12" spans="1:247" ht="30" customHeight="1" x14ac:dyDescent="0.25">
      <c r="A12" s="57" t="s">
        <v>326</v>
      </c>
      <c r="B12" s="46">
        <f>B5+B6+B9</f>
        <v>-42446.486399999994</v>
      </c>
      <c r="C12" s="46">
        <f t="shared" ref="C12:BM12" si="10">C5+C6+C9</f>
        <v>0</v>
      </c>
      <c r="D12" s="46">
        <f t="shared" si="10"/>
        <v>0</v>
      </c>
      <c r="E12" s="46">
        <f t="shared" si="10"/>
        <v>-69189.800830562541</v>
      </c>
      <c r="F12" s="46">
        <f t="shared" si="10"/>
        <v>-100802.50469322348</v>
      </c>
      <c r="G12" s="46">
        <f t="shared" si="10"/>
        <v>-102778.2986846398</v>
      </c>
      <c r="H12" s="46">
        <f t="shared" si="10"/>
        <v>-102778.2986846398</v>
      </c>
      <c r="I12" s="46">
        <f t="shared" si="10"/>
        <v>-98826.710701807169</v>
      </c>
      <c r="J12" s="46">
        <f t="shared" si="10"/>
        <v>-102778.2986846398</v>
      </c>
      <c r="K12" s="46">
        <f t="shared" si="10"/>
        <v>-67214.006839146241</v>
      </c>
      <c r="L12" s="46">
        <f t="shared" si="10"/>
        <v>-41528.684950734219</v>
      </c>
      <c r="M12" s="46">
        <f t="shared" si="10"/>
        <v>-41528.684950734219</v>
      </c>
      <c r="N12" s="46">
        <f t="shared" si="10"/>
        <v>-41528.684950734219</v>
      </c>
      <c r="O12" s="46">
        <f t="shared" si="10"/>
        <v>-41528.684950734219</v>
      </c>
      <c r="P12" s="46">
        <f t="shared" si="10"/>
        <v>-41528.684950734219</v>
      </c>
      <c r="Q12" s="46">
        <f t="shared" si="10"/>
        <v>-83020.358770476698</v>
      </c>
      <c r="R12" s="46">
        <f t="shared" si="10"/>
        <v>-130439.41456446811</v>
      </c>
      <c r="S12" s="46">
        <f t="shared" si="10"/>
        <v>-133403.10555159257</v>
      </c>
      <c r="T12" s="46">
        <f t="shared" si="10"/>
        <v>-133403.10555159257</v>
      </c>
      <c r="U12" s="46">
        <f t="shared" si="10"/>
        <v>-124512.03259021917</v>
      </c>
      <c r="V12" s="46">
        <f t="shared" si="10"/>
        <v>-133403.10555159257</v>
      </c>
      <c r="W12" s="46">
        <f t="shared" si="10"/>
        <v>-83020.358770476698</v>
      </c>
      <c r="X12" s="46">
        <f t="shared" si="10"/>
        <v>-41528.684950734219</v>
      </c>
      <c r="Y12" s="46">
        <f t="shared" si="10"/>
        <v>-41528.684950734219</v>
      </c>
      <c r="Z12" s="46">
        <f t="shared" si="10"/>
        <v>-41528.684950734219</v>
      </c>
      <c r="AA12" s="46">
        <f t="shared" si="10"/>
        <v>-41528.684950734219</v>
      </c>
      <c r="AB12" s="46">
        <f t="shared" si="10"/>
        <v>-41528.684950734219</v>
      </c>
      <c r="AC12" s="46">
        <f t="shared" si="10"/>
        <v>-103766.19568034794</v>
      </c>
      <c r="AD12" s="46">
        <f t="shared" si="10"/>
        <v>-174894.77937133505</v>
      </c>
      <c r="AE12" s="46">
        <f t="shared" si="10"/>
        <v>-179340.31585202174</v>
      </c>
      <c r="AF12" s="46">
        <f t="shared" si="10"/>
        <v>-179340.31585202174</v>
      </c>
      <c r="AG12" s="46">
        <f t="shared" si="10"/>
        <v>-166003.70640996165</v>
      </c>
      <c r="AH12" s="46">
        <f t="shared" si="10"/>
        <v>-179340.31585202174</v>
      </c>
      <c r="AI12" s="46">
        <f t="shared" si="10"/>
        <v>-103766.19568034794</v>
      </c>
      <c r="AJ12" s="46">
        <f t="shared" si="10"/>
        <v>-41528.684950734219</v>
      </c>
      <c r="AK12" s="46">
        <f t="shared" si="10"/>
        <v>-41528.684950734219</v>
      </c>
      <c r="AL12" s="46">
        <f t="shared" si="10"/>
        <v>-41528.684950734219</v>
      </c>
      <c r="AM12" s="46">
        <f t="shared" si="10"/>
        <v>-41528.684950734219</v>
      </c>
      <c r="AN12" s="46">
        <f t="shared" si="10"/>
        <v>-41528.684950734219</v>
      </c>
      <c r="AO12" s="46">
        <f t="shared" si="10"/>
        <v>-103766.19568034794</v>
      </c>
      <c r="AP12" s="46">
        <f t="shared" si="10"/>
        <v>-174894.77937133505</v>
      </c>
      <c r="AQ12" s="46">
        <f t="shared" si="10"/>
        <v>-179340.31585202174</v>
      </c>
      <c r="AR12" s="46">
        <f t="shared" si="10"/>
        <v>-179340.31585202174</v>
      </c>
      <c r="AS12" s="46">
        <f t="shared" si="10"/>
        <v>-166003.70640996165</v>
      </c>
      <c r="AT12" s="46">
        <f t="shared" si="10"/>
        <v>-179340.31585202174</v>
      </c>
      <c r="AU12" s="46">
        <f t="shared" si="10"/>
        <v>-103766.19568034794</v>
      </c>
      <c r="AV12" s="46">
        <f t="shared" si="10"/>
        <v>-41528.684950734219</v>
      </c>
      <c r="AW12" s="46">
        <f t="shared" si="10"/>
        <v>-41528.684950734219</v>
      </c>
      <c r="AX12" s="46">
        <f t="shared" si="10"/>
        <v>-41528.684950734219</v>
      </c>
      <c r="AY12" s="46">
        <f t="shared" si="10"/>
        <v>-41528.684950734219</v>
      </c>
      <c r="AZ12" s="46">
        <f t="shared" si="10"/>
        <v>-41528.684950734219</v>
      </c>
      <c r="BA12" s="46">
        <f t="shared" si="10"/>
        <v>-103766.19568034794</v>
      </c>
      <c r="BB12" s="46">
        <f t="shared" si="10"/>
        <v>-174894.77937133505</v>
      </c>
      <c r="BC12" s="46">
        <f t="shared" si="10"/>
        <v>-179340.31585202174</v>
      </c>
      <c r="BD12" s="46">
        <f t="shared" si="10"/>
        <v>-179340.31585202174</v>
      </c>
      <c r="BE12" s="46">
        <f t="shared" si="10"/>
        <v>-170449.24289064834</v>
      </c>
      <c r="BF12" s="46">
        <f t="shared" si="10"/>
        <v>-179340.31585202174</v>
      </c>
      <c r="BG12" s="46">
        <f t="shared" si="10"/>
        <v>-99320.659199661255</v>
      </c>
      <c r="BH12" s="46">
        <f t="shared" si="10"/>
        <v>-41528.684950734219</v>
      </c>
      <c r="BI12" s="46">
        <f t="shared" si="10"/>
        <v>-41528.684950734219</v>
      </c>
      <c r="BJ12" s="46">
        <f t="shared" si="10"/>
        <v>-41528.684950734219</v>
      </c>
      <c r="BK12" s="46">
        <f t="shared" si="10"/>
        <v>-41528.684950734219</v>
      </c>
      <c r="BL12" s="46">
        <f t="shared" si="10"/>
        <v>-41528.684950734219</v>
      </c>
      <c r="BM12" s="46">
        <f t="shared" si="10"/>
        <v>-62237.510729613714</v>
      </c>
      <c r="BN12" s="46">
        <f t="shared" ref="BN12:DY12" si="11">BN5+BN6+BN9</f>
        <v>-133366.09442060083</v>
      </c>
      <c r="BO12" s="46">
        <f t="shared" si="11"/>
        <v>-137811.63090128751</v>
      </c>
      <c r="BP12" s="46">
        <f t="shared" si="11"/>
        <v>-137811.63090128751</v>
      </c>
      <c r="BQ12" s="46">
        <f t="shared" si="11"/>
        <v>-128920.55793991413</v>
      </c>
      <c r="BR12" s="46">
        <f t="shared" si="11"/>
        <v>-137811.63090128751</v>
      </c>
      <c r="BS12" s="46">
        <f t="shared" si="11"/>
        <v>-57791.974248927028</v>
      </c>
      <c r="BT12" s="46">
        <f t="shared" si="11"/>
        <v>0</v>
      </c>
      <c r="BU12" s="46">
        <f t="shared" si="11"/>
        <v>0</v>
      </c>
      <c r="BV12" s="46">
        <f t="shared" si="11"/>
        <v>0</v>
      </c>
      <c r="BW12" s="46">
        <f t="shared" si="11"/>
        <v>0</v>
      </c>
      <c r="BX12" s="46">
        <f t="shared" si="11"/>
        <v>0</v>
      </c>
      <c r="BY12" s="46">
        <f t="shared" si="11"/>
        <v>-62237.510729613714</v>
      </c>
      <c r="BZ12" s="46">
        <f t="shared" si="11"/>
        <v>-133366.09442060083</v>
      </c>
      <c r="CA12" s="46">
        <f t="shared" si="11"/>
        <v>-137811.63090128751</v>
      </c>
      <c r="CB12" s="46">
        <f t="shared" si="11"/>
        <v>-137811.63090128751</v>
      </c>
      <c r="CC12" s="46">
        <f t="shared" si="11"/>
        <v>-128920.55793991413</v>
      </c>
      <c r="CD12" s="46">
        <f t="shared" si="11"/>
        <v>-137811.63090128751</v>
      </c>
      <c r="CE12" s="46">
        <f t="shared" si="11"/>
        <v>-57791.974248927028</v>
      </c>
      <c r="CF12" s="46">
        <f t="shared" si="11"/>
        <v>0</v>
      </c>
      <c r="CG12" s="46">
        <f t="shared" si="11"/>
        <v>0</v>
      </c>
      <c r="CH12" s="46">
        <f t="shared" si="11"/>
        <v>0</v>
      </c>
      <c r="CI12" s="46">
        <f t="shared" si="11"/>
        <v>0</v>
      </c>
      <c r="CJ12" s="46">
        <f t="shared" si="11"/>
        <v>0</v>
      </c>
      <c r="CK12" s="46">
        <f t="shared" si="11"/>
        <v>-62237.510729613714</v>
      </c>
      <c r="CL12" s="46">
        <f t="shared" si="11"/>
        <v>-133366.09442060083</v>
      </c>
      <c r="CM12" s="46">
        <f t="shared" si="11"/>
        <v>-137811.63090128751</v>
      </c>
      <c r="CN12" s="46">
        <f t="shared" si="11"/>
        <v>-137811.63090128751</v>
      </c>
      <c r="CO12" s="46">
        <f t="shared" si="11"/>
        <v>-128920.55793991413</v>
      </c>
      <c r="CP12" s="46">
        <f t="shared" si="11"/>
        <v>-137811.63090128751</v>
      </c>
      <c r="CQ12" s="46">
        <f t="shared" si="11"/>
        <v>-57791.974248927028</v>
      </c>
      <c r="CR12" s="46">
        <f t="shared" si="11"/>
        <v>0</v>
      </c>
      <c r="CS12" s="46">
        <f t="shared" si="11"/>
        <v>0</v>
      </c>
      <c r="CT12" s="46">
        <f t="shared" si="11"/>
        <v>0</v>
      </c>
      <c r="CU12" s="46">
        <f t="shared" si="11"/>
        <v>0</v>
      </c>
      <c r="CV12" s="46">
        <f t="shared" si="11"/>
        <v>0</v>
      </c>
      <c r="CW12" s="46">
        <f t="shared" si="11"/>
        <v>-62237.510729613714</v>
      </c>
      <c r="CX12" s="46">
        <f t="shared" si="11"/>
        <v>-133366.09442060083</v>
      </c>
      <c r="CY12" s="46">
        <f t="shared" si="11"/>
        <v>-137811.63090128751</v>
      </c>
      <c r="CZ12" s="46">
        <f t="shared" si="11"/>
        <v>-137811.63090128751</v>
      </c>
      <c r="DA12" s="46">
        <f t="shared" si="11"/>
        <v>-128920.55793991413</v>
      </c>
      <c r="DB12" s="46">
        <f t="shared" si="11"/>
        <v>-137811.63090128751</v>
      </c>
      <c r="DC12" s="46">
        <f t="shared" si="11"/>
        <v>-57791.974248927028</v>
      </c>
      <c r="DD12" s="46">
        <f t="shared" si="11"/>
        <v>0</v>
      </c>
      <c r="DE12" s="46">
        <f t="shared" si="11"/>
        <v>0</v>
      </c>
      <c r="DF12" s="46">
        <f t="shared" si="11"/>
        <v>0</v>
      </c>
      <c r="DG12" s="46">
        <f t="shared" si="11"/>
        <v>0</v>
      </c>
      <c r="DH12" s="46">
        <f t="shared" si="11"/>
        <v>0</v>
      </c>
      <c r="DI12" s="46">
        <f t="shared" si="11"/>
        <v>-62237.510729613714</v>
      </c>
      <c r="DJ12" s="46">
        <f t="shared" si="11"/>
        <v>-133366.09442060083</v>
      </c>
      <c r="DK12" s="46">
        <f t="shared" si="11"/>
        <v>-137811.63090128751</v>
      </c>
      <c r="DL12" s="46">
        <f t="shared" si="11"/>
        <v>-137811.63090128751</v>
      </c>
      <c r="DM12" s="46">
        <f t="shared" si="11"/>
        <v>-128920.55793991413</v>
      </c>
      <c r="DN12" s="46">
        <f t="shared" si="11"/>
        <v>-137811.63090128751</v>
      </c>
      <c r="DO12" s="46">
        <f t="shared" si="11"/>
        <v>-57791.974248927028</v>
      </c>
      <c r="DP12" s="46">
        <f t="shared" si="11"/>
        <v>0</v>
      </c>
      <c r="DQ12" s="46">
        <f t="shared" si="11"/>
        <v>0</v>
      </c>
      <c r="DR12" s="46">
        <f t="shared" si="11"/>
        <v>0</v>
      </c>
      <c r="DS12" s="46">
        <f t="shared" si="11"/>
        <v>0</v>
      </c>
      <c r="DT12" s="46">
        <f t="shared" si="11"/>
        <v>0</v>
      </c>
      <c r="DU12" s="46">
        <f t="shared" si="11"/>
        <v>-62237.510729613714</v>
      </c>
      <c r="DV12" s="46">
        <f t="shared" si="11"/>
        <v>-133366.09442060083</v>
      </c>
      <c r="DW12" s="46">
        <f t="shared" si="11"/>
        <v>-137811.63090128751</v>
      </c>
      <c r="DX12" s="46">
        <f t="shared" si="11"/>
        <v>-137811.63090128751</v>
      </c>
      <c r="DY12" s="46">
        <f t="shared" si="11"/>
        <v>-128920.55793991413</v>
      </c>
      <c r="DZ12" s="46">
        <f t="shared" ref="DZ12:GK12" si="12">DZ5+DZ6+DZ9</f>
        <v>-137811.63090128751</v>
      </c>
      <c r="EA12" s="46">
        <f t="shared" si="12"/>
        <v>-57791.974248927028</v>
      </c>
      <c r="EB12" s="46">
        <f t="shared" si="12"/>
        <v>0</v>
      </c>
      <c r="EC12" s="46">
        <f t="shared" si="12"/>
        <v>0</v>
      </c>
      <c r="ED12" s="46">
        <f t="shared" si="12"/>
        <v>0</v>
      </c>
      <c r="EE12" s="46">
        <f t="shared" si="12"/>
        <v>0</v>
      </c>
      <c r="EF12" s="46">
        <f t="shared" si="12"/>
        <v>0</v>
      </c>
      <c r="EG12" s="46">
        <f t="shared" si="12"/>
        <v>-62237.510729613714</v>
      </c>
      <c r="EH12" s="46">
        <f t="shared" si="12"/>
        <v>-133366.09442060083</v>
      </c>
      <c r="EI12" s="46">
        <f t="shared" si="12"/>
        <v>-137811.63090128751</v>
      </c>
      <c r="EJ12" s="46">
        <f t="shared" si="12"/>
        <v>-137811.63090128751</v>
      </c>
      <c r="EK12" s="46">
        <f t="shared" si="12"/>
        <v>-128920.55793991413</v>
      </c>
      <c r="EL12" s="46">
        <f t="shared" si="12"/>
        <v>-137811.63090128751</v>
      </c>
      <c r="EM12" s="46">
        <f t="shared" si="12"/>
        <v>-57791.974248927028</v>
      </c>
      <c r="EN12" s="46">
        <f t="shared" si="12"/>
        <v>0</v>
      </c>
      <c r="EO12" s="46">
        <f t="shared" si="12"/>
        <v>0</v>
      </c>
      <c r="EP12" s="46">
        <f t="shared" si="12"/>
        <v>0</v>
      </c>
      <c r="EQ12" s="46">
        <f t="shared" si="12"/>
        <v>0</v>
      </c>
      <c r="ER12" s="46">
        <f t="shared" si="12"/>
        <v>0</v>
      </c>
      <c r="ES12" s="46">
        <f t="shared" si="12"/>
        <v>-62237.510729613714</v>
      </c>
      <c r="ET12" s="46">
        <f t="shared" si="12"/>
        <v>-133366.09442060083</v>
      </c>
      <c r="EU12" s="46">
        <f t="shared" si="12"/>
        <v>-137811.63090128751</v>
      </c>
      <c r="EV12" s="46">
        <f t="shared" si="12"/>
        <v>-137811.63090128751</v>
      </c>
      <c r="EW12" s="46">
        <f t="shared" si="12"/>
        <v>-128920.55793991413</v>
      </c>
      <c r="EX12" s="46">
        <f t="shared" si="12"/>
        <v>-137811.63090128751</v>
      </c>
      <c r="EY12" s="46">
        <f t="shared" si="12"/>
        <v>-57791.974248927028</v>
      </c>
      <c r="EZ12" s="46">
        <f t="shared" si="12"/>
        <v>0</v>
      </c>
      <c r="FA12" s="46">
        <f t="shared" si="12"/>
        <v>0</v>
      </c>
      <c r="FB12" s="46">
        <f t="shared" si="12"/>
        <v>0</v>
      </c>
      <c r="FC12" s="46">
        <f t="shared" si="12"/>
        <v>0</v>
      </c>
      <c r="FD12" s="46">
        <f t="shared" si="12"/>
        <v>0</v>
      </c>
      <c r="FE12" s="46">
        <f t="shared" si="12"/>
        <v>-62237.510729613714</v>
      </c>
      <c r="FF12" s="46">
        <f t="shared" si="12"/>
        <v>-133366.09442060083</v>
      </c>
      <c r="FG12" s="46">
        <f t="shared" si="12"/>
        <v>-137811.63090128751</v>
      </c>
      <c r="FH12" s="46">
        <f t="shared" si="12"/>
        <v>-137811.63090128751</v>
      </c>
      <c r="FI12" s="46">
        <f t="shared" si="12"/>
        <v>-128920.55793991413</v>
      </c>
      <c r="FJ12" s="46">
        <f t="shared" si="12"/>
        <v>-137811.63090128751</v>
      </c>
      <c r="FK12" s="46">
        <f t="shared" si="12"/>
        <v>-57791.974248927028</v>
      </c>
      <c r="FL12" s="46">
        <f t="shared" si="12"/>
        <v>0</v>
      </c>
      <c r="FM12" s="46">
        <f t="shared" si="12"/>
        <v>0</v>
      </c>
      <c r="FN12" s="46">
        <f t="shared" si="12"/>
        <v>0</v>
      </c>
      <c r="FO12" s="46">
        <f t="shared" si="12"/>
        <v>0</v>
      </c>
      <c r="FP12" s="46">
        <f t="shared" si="12"/>
        <v>0</v>
      </c>
      <c r="FQ12" s="46">
        <f t="shared" si="12"/>
        <v>-62237.510729613714</v>
      </c>
      <c r="FR12" s="46">
        <f t="shared" si="12"/>
        <v>-133366.09442060083</v>
      </c>
      <c r="FS12" s="46">
        <f t="shared" si="12"/>
        <v>-137811.63090128751</v>
      </c>
      <c r="FT12" s="46">
        <f t="shared" si="12"/>
        <v>-137811.63090128751</v>
      </c>
      <c r="FU12" s="46">
        <f t="shared" si="12"/>
        <v>-128920.55793991413</v>
      </c>
      <c r="FV12" s="46">
        <f t="shared" si="12"/>
        <v>-137811.63090128751</v>
      </c>
      <c r="FW12" s="46">
        <f t="shared" si="12"/>
        <v>-57791.974248927028</v>
      </c>
      <c r="FX12" s="46">
        <f t="shared" si="12"/>
        <v>0</v>
      </c>
      <c r="FY12" s="46">
        <f t="shared" si="12"/>
        <v>0</v>
      </c>
      <c r="FZ12" s="46">
        <f t="shared" si="12"/>
        <v>0</v>
      </c>
      <c r="GA12" s="46">
        <f t="shared" si="12"/>
        <v>0</v>
      </c>
      <c r="GB12" s="46">
        <f t="shared" si="12"/>
        <v>0</v>
      </c>
      <c r="GC12" s="46">
        <f t="shared" si="12"/>
        <v>-62237.510729613714</v>
      </c>
      <c r="GD12" s="46">
        <f t="shared" si="12"/>
        <v>-133366.09442060083</v>
      </c>
      <c r="GE12" s="46">
        <f t="shared" si="12"/>
        <v>-137811.63090128751</v>
      </c>
      <c r="GF12" s="46">
        <f t="shared" si="12"/>
        <v>-137811.63090128751</v>
      </c>
      <c r="GG12" s="46">
        <f t="shared" si="12"/>
        <v>-128920.55793991413</v>
      </c>
      <c r="GH12" s="46">
        <f t="shared" si="12"/>
        <v>-137811.63090128751</v>
      </c>
      <c r="GI12" s="46">
        <f t="shared" si="12"/>
        <v>-57791.974248927028</v>
      </c>
      <c r="GJ12" s="46">
        <f t="shared" si="12"/>
        <v>0</v>
      </c>
      <c r="GK12" s="46">
        <f t="shared" si="12"/>
        <v>0</v>
      </c>
      <c r="GL12" s="46">
        <f t="shared" ref="GL12:IG12" si="13">GL5+GL6+GL9</f>
        <v>0</v>
      </c>
      <c r="GM12" s="46">
        <f t="shared" si="13"/>
        <v>0</v>
      </c>
      <c r="GN12" s="46">
        <f t="shared" si="13"/>
        <v>0</v>
      </c>
      <c r="GO12" s="46">
        <f t="shared" si="13"/>
        <v>-62237.510729613714</v>
      </c>
      <c r="GP12" s="46">
        <f t="shared" si="13"/>
        <v>-133366.09442060083</v>
      </c>
      <c r="GQ12" s="46">
        <f t="shared" si="13"/>
        <v>-137811.63090128751</v>
      </c>
      <c r="GR12" s="46">
        <f t="shared" si="13"/>
        <v>-137811.63090128751</v>
      </c>
      <c r="GS12" s="46">
        <f t="shared" si="13"/>
        <v>-128920.55793991413</v>
      </c>
      <c r="GT12" s="46">
        <f t="shared" si="13"/>
        <v>-137811.63090128751</v>
      </c>
      <c r="GU12" s="46">
        <f t="shared" si="13"/>
        <v>-57791.974248927028</v>
      </c>
      <c r="GV12" s="46">
        <f t="shared" si="13"/>
        <v>0</v>
      </c>
      <c r="GW12" s="46">
        <f t="shared" si="13"/>
        <v>0</v>
      </c>
      <c r="GX12" s="46">
        <f t="shared" si="13"/>
        <v>0</v>
      </c>
      <c r="GY12" s="46">
        <f t="shared" si="13"/>
        <v>0</v>
      </c>
      <c r="GZ12" s="46">
        <f t="shared" si="13"/>
        <v>0</v>
      </c>
      <c r="HA12" s="46">
        <f t="shared" si="13"/>
        <v>-62237.510729613714</v>
      </c>
      <c r="HB12" s="46">
        <f t="shared" si="13"/>
        <v>-133366.09442060083</v>
      </c>
      <c r="HC12" s="46">
        <f t="shared" si="13"/>
        <v>-137811.63090128751</v>
      </c>
      <c r="HD12" s="46">
        <f t="shared" si="13"/>
        <v>-137811.63090128751</v>
      </c>
      <c r="HE12" s="46">
        <f t="shared" si="13"/>
        <v>-128920.55793991413</v>
      </c>
      <c r="HF12" s="46">
        <f t="shared" si="13"/>
        <v>-137811.63090128751</v>
      </c>
      <c r="HG12" s="46">
        <f t="shared" si="13"/>
        <v>-57791.974248927028</v>
      </c>
      <c r="HH12" s="46">
        <f t="shared" si="13"/>
        <v>0</v>
      </c>
      <c r="HI12" s="46">
        <f t="shared" si="13"/>
        <v>0</v>
      </c>
      <c r="HJ12" s="46">
        <f t="shared" si="13"/>
        <v>0</v>
      </c>
      <c r="HK12" s="46">
        <f t="shared" si="13"/>
        <v>0</v>
      </c>
      <c r="HL12" s="46">
        <f t="shared" si="13"/>
        <v>0</v>
      </c>
      <c r="HM12" s="46">
        <f t="shared" si="13"/>
        <v>-62237.510729613714</v>
      </c>
      <c r="HN12" s="46">
        <f t="shared" si="13"/>
        <v>-133366.09442060083</v>
      </c>
      <c r="HO12" s="46">
        <f t="shared" si="13"/>
        <v>-137811.63090128751</v>
      </c>
      <c r="HP12" s="46">
        <f t="shared" si="13"/>
        <v>-137811.63090128751</v>
      </c>
      <c r="HQ12" s="46">
        <f t="shared" si="13"/>
        <v>-128920.55793991413</v>
      </c>
      <c r="HR12" s="46">
        <f t="shared" si="13"/>
        <v>-137811.63090128751</v>
      </c>
      <c r="HS12" s="46">
        <f t="shared" si="13"/>
        <v>-57791.974248927028</v>
      </c>
      <c r="HT12" s="46">
        <f t="shared" si="13"/>
        <v>0</v>
      </c>
      <c r="HU12" s="46">
        <f t="shared" si="13"/>
        <v>0</v>
      </c>
      <c r="HV12" s="46">
        <f t="shared" si="13"/>
        <v>0</v>
      </c>
      <c r="HW12" s="46">
        <f t="shared" si="13"/>
        <v>0</v>
      </c>
      <c r="HX12" s="46">
        <f t="shared" si="13"/>
        <v>0</v>
      </c>
      <c r="HY12" s="46">
        <f t="shared" si="13"/>
        <v>-62237.510729613714</v>
      </c>
      <c r="HZ12" s="46">
        <f t="shared" si="13"/>
        <v>-133366.09442060083</v>
      </c>
      <c r="IA12" s="46">
        <f t="shared" si="13"/>
        <v>-137811.63090128751</v>
      </c>
      <c r="IB12" s="46">
        <f t="shared" si="13"/>
        <v>-137811.63090128751</v>
      </c>
      <c r="IC12" s="46">
        <f t="shared" si="13"/>
        <v>-128920.55793991413</v>
      </c>
      <c r="ID12" s="46">
        <f t="shared" si="13"/>
        <v>-137811.63090128751</v>
      </c>
      <c r="IE12" s="46">
        <f t="shared" si="13"/>
        <v>-57791.974248927028</v>
      </c>
      <c r="IF12" s="46">
        <f t="shared" si="13"/>
        <v>0</v>
      </c>
      <c r="IG12" s="46">
        <f t="shared" si="13"/>
        <v>0</v>
      </c>
    </row>
    <row r="13" spans="1:247" ht="30" x14ac:dyDescent="0.25">
      <c r="A13" s="57" t="s">
        <v>325</v>
      </c>
      <c r="B13" s="46">
        <f>B5+B6+B10+B11</f>
        <v>-42446.486399999994</v>
      </c>
      <c r="C13" s="46">
        <f t="shared" ref="C13:BN13" si="14">C5+C6+C10+C11</f>
        <v>1074.2148559999996</v>
      </c>
      <c r="D13" s="46">
        <f t="shared" si="14"/>
        <v>1074.2148559999996</v>
      </c>
      <c r="E13" s="46">
        <f t="shared" si="14"/>
        <v>-27437.474386579706</v>
      </c>
      <c r="F13" s="46">
        <f t="shared" si="14"/>
        <v>-12560.907862974556</v>
      </c>
      <c r="G13" s="46">
        <f t="shared" si="14"/>
        <v>-11631.122455249235</v>
      </c>
      <c r="H13" s="46">
        <f t="shared" si="14"/>
        <v>-11094.015027249234</v>
      </c>
      <c r="I13" s="46">
        <f t="shared" si="14"/>
        <v>-12953.585842699869</v>
      </c>
      <c r="J13" s="46">
        <f t="shared" si="14"/>
        <v>-11094.015027249234</v>
      </c>
      <c r="K13" s="46">
        <f t="shared" si="14"/>
        <v>-27830.152366305032</v>
      </c>
      <c r="L13" s="46">
        <f t="shared" si="14"/>
        <v>-39917.362666734218</v>
      </c>
      <c r="M13" s="46">
        <f t="shared" si="14"/>
        <v>-39917.362666734218</v>
      </c>
      <c r="N13" s="46">
        <f t="shared" si="14"/>
        <v>-39917.362666734218</v>
      </c>
      <c r="O13" s="46">
        <f t="shared" si="14"/>
        <v>-39917.362666734218</v>
      </c>
      <c r="P13" s="46">
        <f t="shared" si="14"/>
        <v>-39917.362666734218</v>
      </c>
      <c r="Q13" s="46">
        <f t="shared" si="14"/>
        <v>-20391.86910450245</v>
      </c>
      <c r="R13" s="46">
        <f t="shared" si="14"/>
        <v>1922.9806809052802</v>
      </c>
      <c r="S13" s="46">
        <f t="shared" si="14"/>
        <v>3317.658792493266</v>
      </c>
      <c r="T13" s="46">
        <f t="shared" si="14"/>
        <v>4123.3199344932655</v>
      </c>
      <c r="U13" s="46">
        <f t="shared" si="14"/>
        <v>-60.714400270676833</v>
      </c>
      <c r="V13" s="46">
        <f t="shared" si="14"/>
        <v>4123.3199344932655</v>
      </c>
      <c r="W13" s="46">
        <f t="shared" si="14"/>
        <v>-19586.207962502449</v>
      </c>
      <c r="X13" s="46">
        <f t="shared" si="14"/>
        <v>-39111.701524734221</v>
      </c>
      <c r="Y13" s="46">
        <f t="shared" si="14"/>
        <v>-39111.701524734221</v>
      </c>
      <c r="Z13" s="46">
        <f t="shared" si="14"/>
        <v>-39111.701524734221</v>
      </c>
      <c r="AA13" s="46">
        <f t="shared" si="14"/>
        <v>-39111.701524734221</v>
      </c>
      <c r="AB13" s="46">
        <f t="shared" si="14"/>
        <v>-39111.701524734221</v>
      </c>
      <c r="AC13" s="46">
        <f t="shared" si="14"/>
        <v>-9823.4611813865631</v>
      </c>
      <c r="AD13" s="46">
        <f t="shared" si="14"/>
        <v>23648.813496725037</v>
      </c>
      <c r="AE13" s="46">
        <f t="shared" si="14"/>
        <v>25740.830664107008</v>
      </c>
      <c r="AF13" s="46">
        <f t="shared" si="14"/>
        <v>25740.830664107008</v>
      </c>
      <c r="AG13" s="46">
        <f t="shared" si="14"/>
        <v>19464.779161961094</v>
      </c>
      <c r="AH13" s="46">
        <f t="shared" si="14"/>
        <v>25740.830664107008</v>
      </c>
      <c r="AI13" s="46">
        <f t="shared" si="14"/>
        <v>-9823.4611813865631</v>
      </c>
      <c r="AJ13" s="46">
        <f t="shared" si="14"/>
        <v>-39111.701524734221</v>
      </c>
      <c r="AK13" s="46">
        <f t="shared" si="14"/>
        <v>-39111.701524734221</v>
      </c>
      <c r="AL13" s="46">
        <f t="shared" si="14"/>
        <v>-39111.701524734221</v>
      </c>
      <c r="AM13" s="46">
        <f t="shared" si="14"/>
        <v>-39111.701524734221</v>
      </c>
      <c r="AN13" s="46">
        <f t="shared" si="14"/>
        <v>-39111.701524734221</v>
      </c>
      <c r="AO13" s="46">
        <f t="shared" si="14"/>
        <v>-9823.4611813865631</v>
      </c>
      <c r="AP13" s="46">
        <f t="shared" si="14"/>
        <v>23648.813496725037</v>
      </c>
      <c r="AQ13" s="46">
        <f t="shared" si="14"/>
        <v>25740.830664107008</v>
      </c>
      <c r="AR13" s="46">
        <f t="shared" si="14"/>
        <v>25740.830664107008</v>
      </c>
      <c r="AS13" s="46">
        <f t="shared" si="14"/>
        <v>19464.779161961094</v>
      </c>
      <c r="AT13" s="46">
        <f t="shared" si="14"/>
        <v>25740.830664107008</v>
      </c>
      <c r="AU13" s="46">
        <f t="shared" si="14"/>
        <v>-9823.4611813865631</v>
      </c>
      <c r="AV13" s="46">
        <f t="shared" si="14"/>
        <v>-39111.701524734221</v>
      </c>
      <c r="AW13" s="46">
        <f t="shared" si="14"/>
        <v>-39111.701524734221</v>
      </c>
      <c r="AX13" s="46">
        <f t="shared" si="14"/>
        <v>-39111.701524734221</v>
      </c>
      <c r="AY13" s="46">
        <f t="shared" si="14"/>
        <v>-39111.701524734221</v>
      </c>
      <c r="AZ13" s="46">
        <f t="shared" si="14"/>
        <v>-39111.701524734221</v>
      </c>
      <c r="BA13" s="46">
        <f t="shared" si="14"/>
        <v>-9823.4611813865631</v>
      </c>
      <c r="BB13" s="46">
        <f t="shared" si="14"/>
        <v>23648.813496725037</v>
      </c>
      <c r="BC13" s="46">
        <f t="shared" si="14"/>
        <v>25740.830664107008</v>
      </c>
      <c r="BD13" s="46">
        <f t="shared" si="14"/>
        <v>25740.830664107008</v>
      </c>
      <c r="BE13" s="46">
        <f t="shared" si="14"/>
        <v>21556.796329343051</v>
      </c>
      <c r="BF13" s="46">
        <f t="shared" si="14"/>
        <v>25740.830664107008</v>
      </c>
      <c r="BG13" s="46">
        <f t="shared" si="14"/>
        <v>-11915.478348768549</v>
      </c>
      <c r="BH13" s="46">
        <f t="shared" si="14"/>
        <v>-39111.701524734221</v>
      </c>
      <c r="BI13" s="46">
        <f t="shared" si="14"/>
        <v>-39111.701524734221</v>
      </c>
      <c r="BJ13" s="46">
        <f t="shared" si="14"/>
        <v>-39111.701524734221</v>
      </c>
      <c r="BK13" s="46">
        <f t="shared" si="14"/>
        <v>-39111.701524734221</v>
      </c>
      <c r="BL13" s="46">
        <f t="shared" si="14"/>
        <v>-39111.701524734221</v>
      </c>
      <c r="BM13" s="46">
        <f t="shared" si="14"/>
        <v>31705.223769347656</v>
      </c>
      <c r="BN13" s="46">
        <f t="shared" si="14"/>
        <v>65177.498447459257</v>
      </c>
      <c r="BO13" s="46">
        <f t="shared" ref="BO13:DZ13" si="15">BO5+BO6+BO10+BO11</f>
        <v>67269.515614841235</v>
      </c>
      <c r="BP13" s="46">
        <f t="shared" si="15"/>
        <v>67269.515614841235</v>
      </c>
      <c r="BQ13" s="46">
        <f t="shared" si="15"/>
        <v>63085.481280077271</v>
      </c>
      <c r="BR13" s="46">
        <f t="shared" si="15"/>
        <v>67269.515614841235</v>
      </c>
      <c r="BS13" s="46">
        <f t="shared" si="15"/>
        <v>29613.20660196567</v>
      </c>
      <c r="BT13" s="46">
        <f t="shared" si="15"/>
        <v>2416.9834259999993</v>
      </c>
      <c r="BU13" s="46">
        <f t="shared" si="15"/>
        <v>2416.9834259999993</v>
      </c>
      <c r="BV13" s="46">
        <f t="shared" si="15"/>
        <v>2416.9834259999993</v>
      </c>
      <c r="BW13" s="46">
        <f t="shared" si="15"/>
        <v>2416.9834259999993</v>
      </c>
      <c r="BX13" s="46">
        <f t="shared" si="15"/>
        <v>2416.9834259999993</v>
      </c>
      <c r="BY13" s="46">
        <f t="shared" si="15"/>
        <v>31705.223769347656</v>
      </c>
      <c r="BZ13" s="46">
        <f t="shared" si="15"/>
        <v>65177.498447459257</v>
      </c>
      <c r="CA13" s="46">
        <f t="shared" si="15"/>
        <v>67269.515614841235</v>
      </c>
      <c r="CB13" s="46">
        <f t="shared" si="15"/>
        <v>67269.515614841235</v>
      </c>
      <c r="CC13" s="46">
        <f t="shared" si="15"/>
        <v>63085.481280077271</v>
      </c>
      <c r="CD13" s="46">
        <f t="shared" si="15"/>
        <v>67269.515614841235</v>
      </c>
      <c r="CE13" s="46">
        <f t="shared" si="15"/>
        <v>29613.20660196567</v>
      </c>
      <c r="CF13" s="46">
        <f t="shared" si="15"/>
        <v>2416.9834259999993</v>
      </c>
      <c r="CG13" s="46">
        <f t="shared" si="15"/>
        <v>2416.9834259999993</v>
      </c>
      <c r="CH13" s="46">
        <f t="shared" si="15"/>
        <v>2416.9834259999993</v>
      </c>
      <c r="CI13" s="46">
        <f t="shared" si="15"/>
        <v>2416.9834259999993</v>
      </c>
      <c r="CJ13" s="46">
        <f t="shared" si="15"/>
        <v>2416.9834259999993</v>
      </c>
      <c r="CK13" s="46">
        <f t="shared" si="15"/>
        <v>31705.223769347656</v>
      </c>
      <c r="CL13" s="46">
        <f t="shared" si="15"/>
        <v>65177.498447459257</v>
      </c>
      <c r="CM13" s="46">
        <f t="shared" si="15"/>
        <v>67269.515614841235</v>
      </c>
      <c r="CN13" s="46">
        <f t="shared" si="15"/>
        <v>67269.515614841235</v>
      </c>
      <c r="CO13" s="46">
        <f t="shared" si="15"/>
        <v>63085.481280077271</v>
      </c>
      <c r="CP13" s="46">
        <f t="shared" si="15"/>
        <v>67269.515614841235</v>
      </c>
      <c r="CQ13" s="46">
        <f t="shared" si="15"/>
        <v>29613.20660196567</v>
      </c>
      <c r="CR13" s="46">
        <f t="shared" si="15"/>
        <v>2416.9834259999993</v>
      </c>
      <c r="CS13" s="46">
        <f t="shared" si="15"/>
        <v>2416.9834259999993</v>
      </c>
      <c r="CT13" s="46">
        <f t="shared" si="15"/>
        <v>2416.9834259999993</v>
      </c>
      <c r="CU13" s="46">
        <f t="shared" si="15"/>
        <v>2416.9834259999993</v>
      </c>
      <c r="CV13" s="46">
        <f t="shared" si="15"/>
        <v>2416.9834259999993</v>
      </c>
      <c r="CW13" s="46">
        <f t="shared" si="15"/>
        <v>31705.223769347656</v>
      </c>
      <c r="CX13" s="46">
        <f t="shared" si="15"/>
        <v>65177.498447459257</v>
      </c>
      <c r="CY13" s="46">
        <f t="shared" si="15"/>
        <v>67269.515614841235</v>
      </c>
      <c r="CZ13" s="46">
        <f t="shared" si="15"/>
        <v>67269.515614841235</v>
      </c>
      <c r="DA13" s="46">
        <f t="shared" si="15"/>
        <v>63085.481280077271</v>
      </c>
      <c r="DB13" s="46">
        <f t="shared" si="15"/>
        <v>67269.515614841235</v>
      </c>
      <c r="DC13" s="46">
        <f t="shared" si="15"/>
        <v>29613.20660196567</v>
      </c>
      <c r="DD13" s="46">
        <f t="shared" si="15"/>
        <v>2416.9834259999993</v>
      </c>
      <c r="DE13" s="46">
        <f t="shared" si="15"/>
        <v>2416.9834259999993</v>
      </c>
      <c r="DF13" s="46">
        <f t="shared" si="15"/>
        <v>2416.9834259999993</v>
      </c>
      <c r="DG13" s="46">
        <f t="shared" si="15"/>
        <v>2416.9834259999993</v>
      </c>
      <c r="DH13" s="46">
        <f t="shared" si="15"/>
        <v>2416.9834259999993</v>
      </c>
      <c r="DI13" s="46">
        <f t="shared" si="15"/>
        <v>31705.223769347656</v>
      </c>
      <c r="DJ13" s="46">
        <f t="shared" si="15"/>
        <v>65177.498447459257</v>
      </c>
      <c r="DK13" s="46">
        <f t="shared" si="15"/>
        <v>67269.515614841235</v>
      </c>
      <c r="DL13" s="46">
        <f t="shared" si="15"/>
        <v>67269.515614841235</v>
      </c>
      <c r="DM13" s="46">
        <f t="shared" si="15"/>
        <v>63085.481280077271</v>
      </c>
      <c r="DN13" s="46">
        <f t="shared" si="15"/>
        <v>67269.515614841235</v>
      </c>
      <c r="DO13" s="46">
        <f t="shared" si="15"/>
        <v>29613.20660196567</v>
      </c>
      <c r="DP13" s="46">
        <f t="shared" si="15"/>
        <v>2416.9834259999993</v>
      </c>
      <c r="DQ13" s="46">
        <f t="shared" si="15"/>
        <v>2416.9834259999993</v>
      </c>
      <c r="DR13" s="46">
        <f t="shared" si="15"/>
        <v>2416.9834259999993</v>
      </c>
      <c r="DS13" s="46">
        <f t="shared" si="15"/>
        <v>2416.9834259999993</v>
      </c>
      <c r="DT13" s="46">
        <f t="shared" si="15"/>
        <v>2416.9834259999993</v>
      </c>
      <c r="DU13" s="46">
        <f t="shared" si="15"/>
        <v>31705.223769347656</v>
      </c>
      <c r="DV13" s="46">
        <f t="shared" si="15"/>
        <v>65177.498447459257</v>
      </c>
      <c r="DW13" s="46">
        <f t="shared" si="15"/>
        <v>67269.515614841235</v>
      </c>
      <c r="DX13" s="46">
        <f t="shared" si="15"/>
        <v>67269.515614841235</v>
      </c>
      <c r="DY13" s="46">
        <f t="shared" si="15"/>
        <v>63085.481280077271</v>
      </c>
      <c r="DZ13" s="46">
        <f t="shared" si="15"/>
        <v>67269.515614841235</v>
      </c>
      <c r="EA13" s="46">
        <f t="shared" ref="EA13:GL13" si="16">EA5+EA6+EA10+EA11</f>
        <v>29613.20660196567</v>
      </c>
      <c r="EB13" s="46">
        <f t="shared" si="16"/>
        <v>2416.9834259999993</v>
      </c>
      <c r="EC13" s="46">
        <f t="shared" si="16"/>
        <v>2416.9834259999993</v>
      </c>
      <c r="ED13" s="46">
        <f t="shared" si="16"/>
        <v>2416.9834259999993</v>
      </c>
      <c r="EE13" s="46">
        <f t="shared" si="16"/>
        <v>2416.9834259999993</v>
      </c>
      <c r="EF13" s="46">
        <f t="shared" si="16"/>
        <v>2416.9834259999993</v>
      </c>
      <c r="EG13" s="46">
        <f t="shared" si="16"/>
        <v>31705.223769347656</v>
      </c>
      <c r="EH13" s="46">
        <f t="shared" si="16"/>
        <v>65177.498447459257</v>
      </c>
      <c r="EI13" s="46">
        <f t="shared" si="16"/>
        <v>67269.515614841235</v>
      </c>
      <c r="EJ13" s="46">
        <f t="shared" si="16"/>
        <v>67269.515614841235</v>
      </c>
      <c r="EK13" s="46">
        <f t="shared" si="16"/>
        <v>63085.481280077271</v>
      </c>
      <c r="EL13" s="46">
        <f t="shared" si="16"/>
        <v>67269.515614841235</v>
      </c>
      <c r="EM13" s="46">
        <f t="shared" si="16"/>
        <v>29613.20660196567</v>
      </c>
      <c r="EN13" s="46">
        <f t="shared" si="16"/>
        <v>2416.9834259999993</v>
      </c>
      <c r="EO13" s="46">
        <f t="shared" si="16"/>
        <v>2416.9834259999993</v>
      </c>
      <c r="EP13" s="46">
        <f t="shared" si="16"/>
        <v>2416.9834259999993</v>
      </c>
      <c r="EQ13" s="46">
        <f t="shared" si="16"/>
        <v>2416.9834259999993</v>
      </c>
      <c r="ER13" s="46">
        <f t="shared" si="16"/>
        <v>2416.9834259999993</v>
      </c>
      <c r="ES13" s="46">
        <f t="shared" si="16"/>
        <v>31705.223769347656</v>
      </c>
      <c r="ET13" s="46">
        <f t="shared" si="16"/>
        <v>65177.498447459257</v>
      </c>
      <c r="EU13" s="46">
        <f t="shared" si="16"/>
        <v>67269.515614841235</v>
      </c>
      <c r="EV13" s="46">
        <f t="shared" si="16"/>
        <v>67269.515614841235</v>
      </c>
      <c r="EW13" s="46">
        <f t="shared" si="16"/>
        <v>63085.481280077271</v>
      </c>
      <c r="EX13" s="46">
        <f t="shared" si="16"/>
        <v>67269.515614841235</v>
      </c>
      <c r="EY13" s="46">
        <f t="shared" si="16"/>
        <v>29613.20660196567</v>
      </c>
      <c r="EZ13" s="46">
        <f t="shared" si="16"/>
        <v>2416.9834259999993</v>
      </c>
      <c r="FA13" s="46">
        <f t="shared" si="16"/>
        <v>2416.9834259999993</v>
      </c>
      <c r="FB13" s="46">
        <f t="shared" si="16"/>
        <v>2416.9834259999993</v>
      </c>
      <c r="FC13" s="46">
        <f t="shared" si="16"/>
        <v>2416.9834259999993</v>
      </c>
      <c r="FD13" s="46">
        <f t="shared" si="16"/>
        <v>2416.9834259999993</v>
      </c>
      <c r="FE13" s="46">
        <f t="shared" si="16"/>
        <v>31705.223769347656</v>
      </c>
      <c r="FF13" s="46">
        <f t="shared" si="16"/>
        <v>65177.498447459257</v>
      </c>
      <c r="FG13" s="46">
        <f t="shared" si="16"/>
        <v>67269.515614841235</v>
      </c>
      <c r="FH13" s="46">
        <f t="shared" si="16"/>
        <v>67269.515614841235</v>
      </c>
      <c r="FI13" s="46">
        <f t="shared" si="16"/>
        <v>63085.481280077271</v>
      </c>
      <c r="FJ13" s="46">
        <f t="shared" si="16"/>
        <v>67269.515614841235</v>
      </c>
      <c r="FK13" s="46">
        <f t="shared" si="16"/>
        <v>29613.20660196567</v>
      </c>
      <c r="FL13" s="46">
        <f t="shared" si="16"/>
        <v>2416.9834259999993</v>
      </c>
      <c r="FM13" s="46">
        <f t="shared" si="16"/>
        <v>2416.9834259999993</v>
      </c>
      <c r="FN13" s="46">
        <f t="shared" si="16"/>
        <v>2416.9834259999993</v>
      </c>
      <c r="FO13" s="46">
        <f t="shared" si="16"/>
        <v>2416.9834259999993</v>
      </c>
      <c r="FP13" s="46">
        <f t="shared" si="16"/>
        <v>2416.9834259999993</v>
      </c>
      <c r="FQ13" s="46">
        <f t="shared" si="16"/>
        <v>31705.223769347656</v>
      </c>
      <c r="FR13" s="46">
        <f t="shared" si="16"/>
        <v>65177.498447459257</v>
      </c>
      <c r="FS13" s="46">
        <f t="shared" si="16"/>
        <v>67269.515614841235</v>
      </c>
      <c r="FT13" s="46">
        <f t="shared" si="16"/>
        <v>67269.515614841235</v>
      </c>
      <c r="FU13" s="46">
        <f t="shared" si="16"/>
        <v>63085.481280077271</v>
      </c>
      <c r="FV13" s="46">
        <f t="shared" si="16"/>
        <v>67269.515614841235</v>
      </c>
      <c r="FW13" s="46">
        <f t="shared" si="16"/>
        <v>29613.20660196567</v>
      </c>
      <c r="FX13" s="46">
        <f t="shared" si="16"/>
        <v>2416.9834259999993</v>
      </c>
      <c r="FY13" s="46">
        <f t="shared" si="16"/>
        <v>2416.9834259999993</v>
      </c>
      <c r="FZ13" s="46">
        <f t="shared" si="16"/>
        <v>2416.9834259999993</v>
      </c>
      <c r="GA13" s="46">
        <f t="shared" si="16"/>
        <v>2416.9834259999993</v>
      </c>
      <c r="GB13" s="46">
        <f t="shared" si="16"/>
        <v>2416.9834259999993</v>
      </c>
      <c r="GC13" s="46">
        <f t="shared" si="16"/>
        <v>31705.223769347656</v>
      </c>
      <c r="GD13" s="46">
        <f t="shared" si="16"/>
        <v>65177.498447459257</v>
      </c>
      <c r="GE13" s="46">
        <f t="shared" si="16"/>
        <v>67269.515614841235</v>
      </c>
      <c r="GF13" s="46">
        <f t="shared" si="16"/>
        <v>67269.515614841235</v>
      </c>
      <c r="GG13" s="46">
        <f t="shared" si="16"/>
        <v>63085.481280077271</v>
      </c>
      <c r="GH13" s="46">
        <f t="shared" si="16"/>
        <v>67269.515614841235</v>
      </c>
      <c r="GI13" s="46">
        <f t="shared" si="16"/>
        <v>29613.20660196567</v>
      </c>
      <c r="GJ13" s="46">
        <f t="shared" si="16"/>
        <v>2416.9834259999993</v>
      </c>
      <c r="GK13" s="46">
        <f t="shared" si="16"/>
        <v>2416.9834259999993</v>
      </c>
      <c r="GL13" s="46">
        <f t="shared" si="16"/>
        <v>2416.9834259999993</v>
      </c>
      <c r="GM13" s="46">
        <f t="shared" ref="GM13:IG13" si="17">GM5+GM6+GM10+GM11</f>
        <v>2416.9834259999993</v>
      </c>
      <c r="GN13" s="46">
        <f t="shared" si="17"/>
        <v>2416.9834259999993</v>
      </c>
      <c r="GO13" s="46">
        <f t="shared" si="17"/>
        <v>31705.223769347656</v>
      </c>
      <c r="GP13" s="46">
        <f t="shared" si="17"/>
        <v>65177.498447459257</v>
      </c>
      <c r="GQ13" s="46">
        <f t="shared" si="17"/>
        <v>67269.515614841235</v>
      </c>
      <c r="GR13" s="46">
        <f t="shared" si="17"/>
        <v>67269.515614841235</v>
      </c>
      <c r="GS13" s="46">
        <f t="shared" si="17"/>
        <v>63085.481280077271</v>
      </c>
      <c r="GT13" s="46">
        <f t="shared" si="17"/>
        <v>67269.515614841235</v>
      </c>
      <c r="GU13" s="46">
        <f t="shared" si="17"/>
        <v>29613.20660196567</v>
      </c>
      <c r="GV13" s="46">
        <f t="shared" si="17"/>
        <v>2416.9834259999993</v>
      </c>
      <c r="GW13" s="46">
        <f t="shared" si="17"/>
        <v>2416.9834259999993</v>
      </c>
      <c r="GX13" s="46">
        <f t="shared" si="17"/>
        <v>2416.9834259999993</v>
      </c>
      <c r="GY13" s="46">
        <f t="shared" si="17"/>
        <v>2416.9834259999993</v>
      </c>
      <c r="GZ13" s="46">
        <f t="shared" si="17"/>
        <v>2416.9834259999993</v>
      </c>
      <c r="HA13" s="46">
        <f t="shared" si="17"/>
        <v>31705.223769347656</v>
      </c>
      <c r="HB13" s="46">
        <f t="shared" si="17"/>
        <v>65177.498447459257</v>
      </c>
      <c r="HC13" s="46">
        <f t="shared" si="17"/>
        <v>67269.515614841235</v>
      </c>
      <c r="HD13" s="46">
        <f t="shared" si="17"/>
        <v>67269.515614841235</v>
      </c>
      <c r="HE13" s="46">
        <f t="shared" si="17"/>
        <v>63085.481280077271</v>
      </c>
      <c r="HF13" s="46">
        <f t="shared" si="17"/>
        <v>67269.515614841235</v>
      </c>
      <c r="HG13" s="46">
        <f t="shared" si="17"/>
        <v>29613.20660196567</v>
      </c>
      <c r="HH13" s="46">
        <f t="shared" si="17"/>
        <v>2416.9834259999993</v>
      </c>
      <c r="HI13" s="46">
        <f t="shared" si="17"/>
        <v>2416.9834259999993</v>
      </c>
      <c r="HJ13" s="46">
        <f t="shared" si="17"/>
        <v>2416.9834259999993</v>
      </c>
      <c r="HK13" s="46">
        <f t="shared" si="17"/>
        <v>2416.9834259999993</v>
      </c>
      <c r="HL13" s="46">
        <f t="shared" si="17"/>
        <v>2416.9834259999993</v>
      </c>
      <c r="HM13" s="46">
        <f t="shared" si="17"/>
        <v>31705.223769347656</v>
      </c>
      <c r="HN13" s="46">
        <f t="shared" si="17"/>
        <v>65177.498447459257</v>
      </c>
      <c r="HO13" s="46">
        <f t="shared" si="17"/>
        <v>67269.515614841235</v>
      </c>
      <c r="HP13" s="46">
        <f t="shared" si="17"/>
        <v>67269.515614841235</v>
      </c>
      <c r="HQ13" s="46">
        <f t="shared" si="17"/>
        <v>63085.481280077271</v>
      </c>
      <c r="HR13" s="46">
        <f t="shared" si="17"/>
        <v>67269.515614841235</v>
      </c>
      <c r="HS13" s="46">
        <f t="shared" si="17"/>
        <v>29613.20660196567</v>
      </c>
      <c r="HT13" s="46">
        <f t="shared" si="17"/>
        <v>2416.9834259999993</v>
      </c>
      <c r="HU13" s="46">
        <f t="shared" si="17"/>
        <v>2416.9834259999993</v>
      </c>
      <c r="HV13" s="46">
        <f t="shared" si="17"/>
        <v>2416.9834259999993</v>
      </c>
      <c r="HW13" s="46">
        <f t="shared" si="17"/>
        <v>2416.9834259999993</v>
      </c>
      <c r="HX13" s="46">
        <f t="shared" si="17"/>
        <v>2416.9834259999993</v>
      </c>
      <c r="HY13" s="46">
        <f t="shared" si="17"/>
        <v>31705.223769347656</v>
      </c>
      <c r="HZ13" s="46">
        <f t="shared" si="17"/>
        <v>65177.498447459257</v>
      </c>
      <c r="IA13" s="46">
        <f t="shared" si="17"/>
        <v>67269.515614841235</v>
      </c>
      <c r="IB13" s="46">
        <f t="shared" si="17"/>
        <v>67269.515614841235</v>
      </c>
      <c r="IC13" s="46">
        <f t="shared" si="17"/>
        <v>63085.481280077271</v>
      </c>
      <c r="ID13" s="46">
        <f t="shared" si="17"/>
        <v>67269.515614841235</v>
      </c>
      <c r="IE13" s="46">
        <f t="shared" si="17"/>
        <v>29613.20660196567</v>
      </c>
      <c r="IF13" s="46">
        <f t="shared" si="17"/>
        <v>2416.9834259999993</v>
      </c>
      <c r="IG13" s="46">
        <f t="shared" si="17"/>
        <v>2416.9834259999993</v>
      </c>
    </row>
    <row r="14" spans="1:247" ht="30" x14ac:dyDescent="0.25">
      <c r="A14" s="57" t="s">
        <v>324</v>
      </c>
      <c r="B14" s="46">
        <f>B13</f>
        <v>-42446.486399999994</v>
      </c>
      <c r="C14" s="46">
        <f t="shared" ref="C14:BN14" si="18">B14+C13</f>
        <v>-41372.271543999996</v>
      </c>
      <c r="D14" s="46">
        <f t="shared" si="18"/>
        <v>-40298.056687999997</v>
      </c>
      <c r="E14" s="46">
        <f t="shared" si="18"/>
        <v>-67735.531074579703</v>
      </c>
      <c r="F14" s="46">
        <f t="shared" si="18"/>
        <v>-80296.438937554252</v>
      </c>
      <c r="G14" s="46">
        <f t="shared" si="18"/>
        <v>-91927.561392803487</v>
      </c>
      <c r="H14" s="46">
        <f t="shared" si="18"/>
        <v>-103021.57642005272</v>
      </c>
      <c r="I14" s="46">
        <f t="shared" si="18"/>
        <v>-115975.16226275259</v>
      </c>
      <c r="J14" s="46">
        <f t="shared" si="18"/>
        <v>-127069.17729000183</v>
      </c>
      <c r="K14" s="46">
        <f t="shared" si="18"/>
        <v>-154899.32965630686</v>
      </c>
      <c r="L14" s="46">
        <f t="shared" si="18"/>
        <v>-194816.69232304109</v>
      </c>
      <c r="M14" s="46">
        <f t="shared" si="18"/>
        <v>-234734.05498977529</v>
      </c>
      <c r="N14" s="46">
        <f t="shared" si="18"/>
        <v>-274651.4176565095</v>
      </c>
      <c r="O14" s="46">
        <f t="shared" si="18"/>
        <v>-314568.7803232437</v>
      </c>
      <c r="P14" s="46">
        <f t="shared" si="18"/>
        <v>-354486.1429899779</v>
      </c>
      <c r="Q14" s="46">
        <f t="shared" si="18"/>
        <v>-374878.01209448033</v>
      </c>
      <c r="R14" s="46">
        <f t="shared" si="18"/>
        <v>-372955.03141357505</v>
      </c>
      <c r="S14" s="46">
        <f t="shared" si="18"/>
        <v>-369637.37262108177</v>
      </c>
      <c r="T14" s="46">
        <f t="shared" si="18"/>
        <v>-365514.05268658849</v>
      </c>
      <c r="U14" s="46">
        <f t="shared" si="18"/>
        <v>-365574.76708685915</v>
      </c>
      <c r="V14" s="46">
        <f t="shared" si="18"/>
        <v>-361451.44715236587</v>
      </c>
      <c r="W14" s="46">
        <f t="shared" si="18"/>
        <v>-381037.65511486831</v>
      </c>
      <c r="X14" s="46">
        <f t="shared" si="18"/>
        <v>-420149.35663960251</v>
      </c>
      <c r="Y14" s="46">
        <f t="shared" si="18"/>
        <v>-459261.05816433672</v>
      </c>
      <c r="Z14" s="46">
        <f t="shared" si="18"/>
        <v>-498372.75968907092</v>
      </c>
      <c r="AA14" s="46">
        <f t="shared" si="18"/>
        <v>-537484.46121380513</v>
      </c>
      <c r="AB14" s="46">
        <f t="shared" si="18"/>
        <v>-576596.16273853939</v>
      </c>
      <c r="AC14" s="46">
        <f t="shared" si="18"/>
        <v>-586419.623919926</v>
      </c>
      <c r="AD14" s="46">
        <f t="shared" si="18"/>
        <v>-562770.81042320095</v>
      </c>
      <c r="AE14" s="46">
        <f t="shared" si="18"/>
        <v>-537029.97975909396</v>
      </c>
      <c r="AF14" s="46">
        <f t="shared" si="18"/>
        <v>-511289.14909498696</v>
      </c>
      <c r="AG14" s="46">
        <f t="shared" si="18"/>
        <v>-491824.36993302585</v>
      </c>
      <c r="AH14" s="46">
        <f t="shared" si="18"/>
        <v>-466083.53926891886</v>
      </c>
      <c r="AI14" s="46">
        <f t="shared" si="18"/>
        <v>-475907.00045030541</v>
      </c>
      <c r="AJ14" s="46">
        <f t="shared" si="18"/>
        <v>-515018.70197503961</v>
      </c>
      <c r="AK14" s="46">
        <f t="shared" si="18"/>
        <v>-554130.40349977382</v>
      </c>
      <c r="AL14" s="46">
        <f t="shared" si="18"/>
        <v>-593242.10502450808</v>
      </c>
      <c r="AM14" s="46">
        <f t="shared" si="18"/>
        <v>-632353.80654924235</v>
      </c>
      <c r="AN14" s="46">
        <f t="shared" si="18"/>
        <v>-671465.50807397661</v>
      </c>
      <c r="AO14" s="46">
        <f t="shared" si="18"/>
        <v>-681288.96925536322</v>
      </c>
      <c r="AP14" s="46">
        <f t="shared" si="18"/>
        <v>-657640.15575863817</v>
      </c>
      <c r="AQ14" s="46">
        <f t="shared" si="18"/>
        <v>-631899.32509453117</v>
      </c>
      <c r="AR14" s="46">
        <f t="shared" si="18"/>
        <v>-606158.49443042418</v>
      </c>
      <c r="AS14" s="46">
        <f t="shared" si="18"/>
        <v>-586693.71526846313</v>
      </c>
      <c r="AT14" s="46">
        <f t="shared" si="18"/>
        <v>-560952.88460435614</v>
      </c>
      <c r="AU14" s="46">
        <f t="shared" si="18"/>
        <v>-570776.34578574274</v>
      </c>
      <c r="AV14" s="46">
        <f t="shared" si="18"/>
        <v>-609888.04731047701</v>
      </c>
      <c r="AW14" s="46">
        <f t="shared" si="18"/>
        <v>-648999.74883521127</v>
      </c>
      <c r="AX14" s="46">
        <f t="shared" si="18"/>
        <v>-688111.45035994553</v>
      </c>
      <c r="AY14" s="46">
        <f t="shared" si="18"/>
        <v>-727223.1518846798</v>
      </c>
      <c r="AZ14" s="46">
        <f t="shared" si="18"/>
        <v>-766334.85340941406</v>
      </c>
      <c r="BA14" s="46">
        <f t="shared" si="18"/>
        <v>-776158.31459080067</v>
      </c>
      <c r="BB14" s="46">
        <f t="shared" si="18"/>
        <v>-752509.50109407562</v>
      </c>
      <c r="BC14" s="46">
        <f t="shared" si="18"/>
        <v>-726768.67042996862</v>
      </c>
      <c r="BD14" s="46">
        <f t="shared" si="18"/>
        <v>-701027.83976586163</v>
      </c>
      <c r="BE14" s="46">
        <f t="shared" si="18"/>
        <v>-679471.04343651864</v>
      </c>
      <c r="BF14" s="46">
        <f t="shared" si="18"/>
        <v>-653730.21277241164</v>
      </c>
      <c r="BG14" s="46">
        <f t="shared" si="18"/>
        <v>-665645.69112118019</v>
      </c>
      <c r="BH14" s="46">
        <f t="shared" si="18"/>
        <v>-704757.39264591446</v>
      </c>
      <c r="BI14" s="46">
        <f t="shared" si="18"/>
        <v>-743869.09417064872</v>
      </c>
      <c r="BJ14" s="46">
        <f t="shared" si="18"/>
        <v>-782980.79569538299</v>
      </c>
      <c r="BK14" s="46">
        <f t="shared" si="18"/>
        <v>-822092.49722011725</v>
      </c>
      <c r="BL14" s="46">
        <f t="shared" si="18"/>
        <v>-861204.19874485151</v>
      </c>
      <c r="BM14" s="46">
        <f t="shared" si="18"/>
        <v>-829498.97497550386</v>
      </c>
      <c r="BN14" s="46">
        <f t="shared" si="18"/>
        <v>-764321.47652804456</v>
      </c>
      <c r="BO14" s="46">
        <f t="shared" ref="BO14:DZ14" si="19">BN14+BO13</f>
        <v>-697051.96091320331</v>
      </c>
      <c r="BP14" s="46">
        <f t="shared" si="19"/>
        <v>-629782.44529836206</v>
      </c>
      <c r="BQ14" s="46">
        <f t="shared" si="19"/>
        <v>-566696.96401828481</v>
      </c>
      <c r="BR14" s="46">
        <f t="shared" si="19"/>
        <v>-499427.44840344356</v>
      </c>
      <c r="BS14" s="46">
        <f t="shared" si="19"/>
        <v>-469814.24180147791</v>
      </c>
      <c r="BT14" s="46">
        <f t="shared" si="19"/>
        <v>-467397.25837547792</v>
      </c>
      <c r="BU14" s="46">
        <f t="shared" si="19"/>
        <v>-464980.27494947793</v>
      </c>
      <c r="BV14" s="46">
        <f t="shared" si="19"/>
        <v>-462563.29152347794</v>
      </c>
      <c r="BW14" s="46">
        <f t="shared" si="19"/>
        <v>-460146.30809747794</v>
      </c>
      <c r="BX14" s="46">
        <f t="shared" si="19"/>
        <v>-457729.32467147795</v>
      </c>
      <c r="BY14" s="46">
        <f t="shared" si="19"/>
        <v>-426024.1009021303</v>
      </c>
      <c r="BZ14" s="46">
        <f t="shared" si="19"/>
        <v>-360846.60245467105</v>
      </c>
      <c r="CA14" s="46">
        <f t="shared" si="19"/>
        <v>-293577.0868398298</v>
      </c>
      <c r="CB14" s="46">
        <f t="shared" si="19"/>
        <v>-226307.57122498855</v>
      </c>
      <c r="CC14" s="46">
        <f t="shared" si="19"/>
        <v>-163222.08994491128</v>
      </c>
      <c r="CD14" s="46">
        <f t="shared" si="19"/>
        <v>-95952.574330070041</v>
      </c>
      <c r="CE14" s="46">
        <f t="shared" si="19"/>
        <v>-66339.367728104378</v>
      </c>
      <c r="CF14" s="46">
        <f t="shared" si="19"/>
        <v>-63922.384302104379</v>
      </c>
      <c r="CG14" s="46">
        <f t="shared" si="19"/>
        <v>-61505.400876104381</v>
      </c>
      <c r="CH14" s="46">
        <f t="shared" si="19"/>
        <v>-59088.417450104382</v>
      </c>
      <c r="CI14" s="46">
        <f t="shared" si="19"/>
        <v>-56671.434024104383</v>
      </c>
      <c r="CJ14" s="46">
        <f t="shared" si="19"/>
        <v>-54254.450598104384</v>
      </c>
      <c r="CK14" s="46">
        <f t="shared" si="19"/>
        <v>-22549.226828756728</v>
      </c>
      <c r="CL14" s="46">
        <f t="shared" si="19"/>
        <v>42628.271618702529</v>
      </c>
      <c r="CM14" s="46">
        <f t="shared" si="19"/>
        <v>109897.78723354376</v>
      </c>
      <c r="CN14" s="46">
        <f t="shared" si="19"/>
        <v>177167.30284838501</v>
      </c>
      <c r="CO14" s="46">
        <f t="shared" si="19"/>
        <v>240252.78412846228</v>
      </c>
      <c r="CP14" s="46">
        <f t="shared" si="19"/>
        <v>307522.29974330351</v>
      </c>
      <c r="CQ14" s="46">
        <f t="shared" si="19"/>
        <v>337135.50634526915</v>
      </c>
      <c r="CR14" s="46">
        <f t="shared" si="19"/>
        <v>339552.48977126915</v>
      </c>
      <c r="CS14" s="46">
        <f t="shared" si="19"/>
        <v>341969.47319726914</v>
      </c>
      <c r="CT14" s="46">
        <f t="shared" si="19"/>
        <v>344386.45662326913</v>
      </c>
      <c r="CU14" s="46">
        <f t="shared" si="19"/>
        <v>346803.44004926912</v>
      </c>
      <c r="CV14" s="46">
        <f t="shared" si="19"/>
        <v>349220.42347526911</v>
      </c>
      <c r="CW14" s="46">
        <f t="shared" si="19"/>
        <v>380925.64724461676</v>
      </c>
      <c r="CX14" s="46">
        <f t="shared" si="19"/>
        <v>446103.14569207601</v>
      </c>
      <c r="CY14" s="46">
        <f t="shared" si="19"/>
        <v>513372.66130691726</v>
      </c>
      <c r="CZ14" s="46">
        <f t="shared" si="19"/>
        <v>580642.17692175845</v>
      </c>
      <c r="DA14" s="46">
        <f t="shared" si="19"/>
        <v>643727.6582018357</v>
      </c>
      <c r="DB14" s="46">
        <f t="shared" si="19"/>
        <v>710997.17381667695</v>
      </c>
      <c r="DC14" s="46">
        <f t="shared" si="19"/>
        <v>740610.38041864266</v>
      </c>
      <c r="DD14" s="46">
        <f t="shared" si="19"/>
        <v>743027.36384464265</v>
      </c>
      <c r="DE14" s="46">
        <f t="shared" si="19"/>
        <v>745444.34727064264</v>
      </c>
      <c r="DF14" s="46">
        <f t="shared" si="19"/>
        <v>747861.33069664263</v>
      </c>
      <c r="DG14" s="46">
        <f t="shared" si="19"/>
        <v>750278.31412264262</v>
      </c>
      <c r="DH14" s="46">
        <f t="shared" si="19"/>
        <v>752695.29754864261</v>
      </c>
      <c r="DI14" s="46">
        <f t="shared" si="19"/>
        <v>784400.52131799026</v>
      </c>
      <c r="DJ14" s="46">
        <f t="shared" si="19"/>
        <v>849578.01976544957</v>
      </c>
      <c r="DK14" s="46">
        <f t="shared" si="19"/>
        <v>916847.53538029082</v>
      </c>
      <c r="DL14" s="46">
        <f t="shared" si="19"/>
        <v>984117.05099513207</v>
      </c>
      <c r="DM14" s="46">
        <f t="shared" si="19"/>
        <v>1047202.5322752093</v>
      </c>
      <c r="DN14" s="46">
        <f t="shared" si="19"/>
        <v>1114472.0478900506</v>
      </c>
      <c r="DO14" s="46">
        <f t="shared" si="19"/>
        <v>1144085.2544920163</v>
      </c>
      <c r="DP14" s="46">
        <f t="shared" si="19"/>
        <v>1146502.2379180163</v>
      </c>
      <c r="DQ14" s="46">
        <f t="shared" si="19"/>
        <v>1148919.2213440163</v>
      </c>
      <c r="DR14" s="46">
        <f t="shared" si="19"/>
        <v>1151336.2047700163</v>
      </c>
      <c r="DS14" s="46">
        <f t="shared" si="19"/>
        <v>1153753.1881960162</v>
      </c>
      <c r="DT14" s="46">
        <f t="shared" si="19"/>
        <v>1156170.1716220162</v>
      </c>
      <c r="DU14" s="46">
        <f t="shared" si="19"/>
        <v>1187875.3953913639</v>
      </c>
      <c r="DV14" s="46">
        <f t="shared" si="19"/>
        <v>1253052.8938388231</v>
      </c>
      <c r="DW14" s="46">
        <f t="shared" si="19"/>
        <v>1320322.4094536642</v>
      </c>
      <c r="DX14" s="46">
        <f t="shared" si="19"/>
        <v>1387591.9250685053</v>
      </c>
      <c r="DY14" s="46">
        <f t="shared" si="19"/>
        <v>1450677.4063485826</v>
      </c>
      <c r="DZ14" s="46">
        <f t="shared" si="19"/>
        <v>1517946.9219634237</v>
      </c>
      <c r="EA14" s="46">
        <f t="shared" ref="EA14:GL14" si="20">DZ14+EA13</f>
        <v>1547560.1285653894</v>
      </c>
      <c r="EB14" s="46">
        <f t="shared" si="20"/>
        <v>1549977.1119913894</v>
      </c>
      <c r="EC14" s="46">
        <f t="shared" si="20"/>
        <v>1552394.0954173894</v>
      </c>
      <c r="ED14" s="46">
        <f t="shared" si="20"/>
        <v>1554811.0788433894</v>
      </c>
      <c r="EE14" s="46">
        <f t="shared" si="20"/>
        <v>1557228.0622693894</v>
      </c>
      <c r="EF14" s="46">
        <f t="shared" si="20"/>
        <v>1559645.0456953894</v>
      </c>
      <c r="EG14" s="46">
        <f t="shared" si="20"/>
        <v>1591350.269464737</v>
      </c>
      <c r="EH14" s="46">
        <f t="shared" si="20"/>
        <v>1656527.7679121962</v>
      </c>
      <c r="EI14" s="46">
        <f t="shared" si="20"/>
        <v>1723797.2835270374</v>
      </c>
      <c r="EJ14" s="46">
        <f t="shared" si="20"/>
        <v>1791066.7991418785</v>
      </c>
      <c r="EK14" s="46">
        <f t="shared" si="20"/>
        <v>1854152.2804219557</v>
      </c>
      <c r="EL14" s="46">
        <f t="shared" si="20"/>
        <v>1921421.7960367969</v>
      </c>
      <c r="EM14" s="46">
        <f t="shared" si="20"/>
        <v>1951035.0026387626</v>
      </c>
      <c r="EN14" s="46">
        <f t="shared" si="20"/>
        <v>1953451.9860647626</v>
      </c>
      <c r="EO14" s="46">
        <f t="shared" si="20"/>
        <v>1955868.9694907626</v>
      </c>
      <c r="EP14" s="46">
        <f t="shared" si="20"/>
        <v>1958285.9529167626</v>
      </c>
      <c r="EQ14" s="46">
        <f t="shared" si="20"/>
        <v>1960702.9363427626</v>
      </c>
      <c r="ER14" s="46">
        <f t="shared" si="20"/>
        <v>1963119.9197687625</v>
      </c>
      <c r="ES14" s="46">
        <f t="shared" si="20"/>
        <v>1994825.1435381102</v>
      </c>
      <c r="ET14" s="46">
        <f t="shared" si="20"/>
        <v>2060002.6419855694</v>
      </c>
      <c r="EU14" s="46">
        <f t="shared" si="20"/>
        <v>2127272.1576004107</v>
      </c>
      <c r="EV14" s="46">
        <f t="shared" si="20"/>
        <v>2194541.6732152519</v>
      </c>
      <c r="EW14" s="46">
        <f t="shared" si="20"/>
        <v>2257627.1544953291</v>
      </c>
      <c r="EX14" s="46">
        <f t="shared" si="20"/>
        <v>2324896.6701101703</v>
      </c>
      <c r="EY14" s="46">
        <f t="shared" si="20"/>
        <v>2354509.876712136</v>
      </c>
      <c r="EZ14" s="46">
        <f t="shared" si="20"/>
        <v>2356926.860138136</v>
      </c>
      <c r="FA14" s="46">
        <f t="shared" si="20"/>
        <v>2359343.843564136</v>
      </c>
      <c r="FB14" s="46">
        <f t="shared" si="20"/>
        <v>2361760.8269901359</v>
      </c>
      <c r="FC14" s="46">
        <f t="shared" si="20"/>
        <v>2364177.8104161359</v>
      </c>
      <c r="FD14" s="46">
        <f t="shared" si="20"/>
        <v>2366594.7938421359</v>
      </c>
      <c r="FE14" s="46">
        <f t="shared" si="20"/>
        <v>2398300.0176114836</v>
      </c>
      <c r="FF14" s="46">
        <f t="shared" si="20"/>
        <v>2463477.5160589428</v>
      </c>
      <c r="FG14" s="46">
        <f t="shared" si="20"/>
        <v>2530747.0316737839</v>
      </c>
      <c r="FH14" s="46">
        <f t="shared" si="20"/>
        <v>2598016.547288625</v>
      </c>
      <c r="FI14" s="46">
        <f t="shared" si="20"/>
        <v>2661102.0285687023</v>
      </c>
      <c r="FJ14" s="46">
        <f t="shared" si="20"/>
        <v>2728371.5441835434</v>
      </c>
      <c r="FK14" s="46">
        <f t="shared" si="20"/>
        <v>2757984.7507855091</v>
      </c>
      <c r="FL14" s="46">
        <f t="shared" si="20"/>
        <v>2760401.7342115091</v>
      </c>
      <c r="FM14" s="46">
        <f t="shared" si="20"/>
        <v>2762818.7176375091</v>
      </c>
      <c r="FN14" s="46">
        <f t="shared" si="20"/>
        <v>2765235.7010635091</v>
      </c>
      <c r="FO14" s="46">
        <f t="shared" si="20"/>
        <v>2767652.6844895091</v>
      </c>
      <c r="FP14" s="46">
        <f t="shared" si="20"/>
        <v>2770069.6679155091</v>
      </c>
      <c r="FQ14" s="46">
        <f t="shared" si="20"/>
        <v>2801774.8916848567</v>
      </c>
      <c r="FR14" s="46">
        <f t="shared" si="20"/>
        <v>2866952.3901323159</v>
      </c>
      <c r="FS14" s="46">
        <f t="shared" si="20"/>
        <v>2934221.9057471571</v>
      </c>
      <c r="FT14" s="46">
        <f t="shared" si="20"/>
        <v>3001491.4213619982</v>
      </c>
      <c r="FU14" s="46">
        <f t="shared" si="20"/>
        <v>3064576.9026420754</v>
      </c>
      <c r="FV14" s="46">
        <f t="shared" si="20"/>
        <v>3131846.4182569166</v>
      </c>
      <c r="FW14" s="46">
        <f t="shared" si="20"/>
        <v>3161459.6248588823</v>
      </c>
      <c r="FX14" s="46">
        <f t="shared" si="20"/>
        <v>3163876.6082848823</v>
      </c>
      <c r="FY14" s="46">
        <f t="shared" si="20"/>
        <v>3166293.5917108823</v>
      </c>
      <c r="FZ14" s="46">
        <f t="shared" si="20"/>
        <v>3168710.5751368823</v>
      </c>
      <c r="GA14" s="46">
        <f t="shared" si="20"/>
        <v>3171127.5585628822</v>
      </c>
      <c r="GB14" s="46">
        <f t="shared" si="20"/>
        <v>3173544.5419888822</v>
      </c>
      <c r="GC14" s="46">
        <f t="shared" si="20"/>
        <v>3205249.7657582299</v>
      </c>
      <c r="GD14" s="46">
        <f t="shared" si="20"/>
        <v>3270427.2642056891</v>
      </c>
      <c r="GE14" s="46">
        <f t="shared" si="20"/>
        <v>3337696.7798205302</v>
      </c>
      <c r="GF14" s="46">
        <f t="shared" si="20"/>
        <v>3404966.2954353713</v>
      </c>
      <c r="GG14" s="46">
        <f t="shared" si="20"/>
        <v>3468051.7767154486</v>
      </c>
      <c r="GH14" s="46">
        <f t="shared" si="20"/>
        <v>3535321.2923302897</v>
      </c>
      <c r="GI14" s="46">
        <f t="shared" si="20"/>
        <v>3564934.4989322554</v>
      </c>
      <c r="GJ14" s="46">
        <f t="shared" si="20"/>
        <v>3567351.4823582554</v>
      </c>
      <c r="GK14" s="46">
        <f t="shared" si="20"/>
        <v>3569768.4657842554</v>
      </c>
      <c r="GL14" s="46">
        <f t="shared" si="20"/>
        <v>3572185.4492102554</v>
      </c>
      <c r="GM14" s="46">
        <f t="shared" ref="GM14:IG14" si="21">GL14+GM13</f>
        <v>3574602.4326362554</v>
      </c>
      <c r="GN14" s="46">
        <f t="shared" si="21"/>
        <v>3577019.4160622554</v>
      </c>
      <c r="GO14" s="46">
        <f t="shared" si="21"/>
        <v>3608724.639831603</v>
      </c>
      <c r="GP14" s="46">
        <f t="shared" si="21"/>
        <v>3673902.1382790622</v>
      </c>
      <c r="GQ14" s="46">
        <f t="shared" si="21"/>
        <v>3741171.6538939034</v>
      </c>
      <c r="GR14" s="46">
        <f t="shared" si="21"/>
        <v>3808441.1695087445</v>
      </c>
      <c r="GS14" s="46">
        <f t="shared" si="21"/>
        <v>3871526.6507888217</v>
      </c>
      <c r="GT14" s="46">
        <f t="shared" si="21"/>
        <v>3938796.1664036629</v>
      </c>
      <c r="GU14" s="46">
        <f t="shared" si="21"/>
        <v>3968409.3730056286</v>
      </c>
      <c r="GV14" s="46">
        <f t="shared" si="21"/>
        <v>3970826.3564316286</v>
      </c>
      <c r="GW14" s="46">
        <f t="shared" si="21"/>
        <v>3973243.3398576286</v>
      </c>
      <c r="GX14" s="46">
        <f t="shared" si="21"/>
        <v>3975660.3232836286</v>
      </c>
      <c r="GY14" s="46">
        <f t="shared" si="21"/>
        <v>3978077.3067096286</v>
      </c>
      <c r="GZ14" s="46">
        <f t="shared" si="21"/>
        <v>3980494.2901356285</v>
      </c>
      <c r="HA14" s="46">
        <f t="shared" si="21"/>
        <v>4012199.5139049762</v>
      </c>
      <c r="HB14" s="46">
        <f t="shared" si="21"/>
        <v>4077377.0123524354</v>
      </c>
      <c r="HC14" s="46">
        <f t="shared" si="21"/>
        <v>4144646.5279672765</v>
      </c>
      <c r="HD14" s="46">
        <f t="shared" si="21"/>
        <v>4211916.0435821181</v>
      </c>
      <c r="HE14" s="46">
        <f t="shared" si="21"/>
        <v>4275001.5248621954</v>
      </c>
      <c r="HF14" s="46">
        <f t="shared" si="21"/>
        <v>4342271.0404770365</v>
      </c>
      <c r="HG14" s="46">
        <f t="shared" si="21"/>
        <v>4371884.2470790017</v>
      </c>
      <c r="HH14" s="46">
        <f t="shared" si="21"/>
        <v>4374301.2305050017</v>
      </c>
      <c r="HI14" s="46">
        <f t="shared" si="21"/>
        <v>4376718.2139310017</v>
      </c>
      <c r="HJ14" s="46">
        <f t="shared" si="21"/>
        <v>4379135.1973570017</v>
      </c>
      <c r="HK14" s="46">
        <f t="shared" si="21"/>
        <v>4381552.1807830017</v>
      </c>
      <c r="HL14" s="46">
        <f t="shared" si="21"/>
        <v>4383969.1642090017</v>
      </c>
      <c r="HM14" s="46">
        <f t="shared" si="21"/>
        <v>4415674.3879783498</v>
      </c>
      <c r="HN14" s="46">
        <f t="shared" si="21"/>
        <v>4480851.886425809</v>
      </c>
      <c r="HO14" s="46">
        <f t="shared" si="21"/>
        <v>4548121.4020406501</v>
      </c>
      <c r="HP14" s="46">
        <f t="shared" si="21"/>
        <v>4615390.9176554913</v>
      </c>
      <c r="HQ14" s="46">
        <f t="shared" si="21"/>
        <v>4678476.3989355685</v>
      </c>
      <c r="HR14" s="46">
        <f t="shared" si="21"/>
        <v>4745745.9145504097</v>
      </c>
      <c r="HS14" s="46">
        <f t="shared" si="21"/>
        <v>4775359.1211523749</v>
      </c>
      <c r="HT14" s="46">
        <f t="shared" si="21"/>
        <v>4777776.1045783749</v>
      </c>
      <c r="HU14" s="46">
        <f t="shared" si="21"/>
        <v>4780193.0880043749</v>
      </c>
      <c r="HV14" s="46">
        <f t="shared" si="21"/>
        <v>4782610.0714303749</v>
      </c>
      <c r="HW14" s="46">
        <f t="shared" si="21"/>
        <v>4785027.0548563749</v>
      </c>
      <c r="HX14" s="46">
        <f t="shared" si="21"/>
        <v>4787444.0382823749</v>
      </c>
      <c r="HY14" s="46">
        <f t="shared" si="21"/>
        <v>4819149.262051723</v>
      </c>
      <c r="HZ14" s="46">
        <f t="shared" si="21"/>
        <v>4884326.7604991822</v>
      </c>
      <c r="IA14" s="46">
        <f t="shared" si="21"/>
        <v>4951596.2761140233</v>
      </c>
      <c r="IB14" s="46">
        <f t="shared" si="21"/>
        <v>5018865.7917288644</v>
      </c>
      <c r="IC14" s="46">
        <f t="shared" si="21"/>
        <v>5081951.2730089417</v>
      </c>
      <c r="ID14" s="46">
        <f t="shared" si="21"/>
        <v>5149220.7886237828</v>
      </c>
      <c r="IE14" s="46">
        <f t="shared" si="21"/>
        <v>5178833.995225748</v>
      </c>
      <c r="IF14" s="46">
        <f t="shared" si="21"/>
        <v>5181250.978651748</v>
      </c>
      <c r="IG14" s="46">
        <f t="shared" si="21"/>
        <v>5183667.962077748</v>
      </c>
    </row>
    <row r="15" spans="1:247" ht="30" x14ac:dyDescent="0.25">
      <c r="A15" s="57" t="s">
        <v>323</v>
      </c>
      <c r="B15" s="46">
        <f>B13/POWER((1+'Вхідні дані'!$B$13/12),B1)</f>
        <v>-41580.231575510203</v>
      </c>
      <c r="C15" s="46">
        <f>C13/POWER((1+'Вхідні дані'!$B$13/12),C1)</f>
        <v>1030.8167547788421</v>
      </c>
      <c r="D15" s="46">
        <f>D13/POWER((1+'Вхідні дані'!$B$13/12),D1)</f>
        <v>1009.7796781507026</v>
      </c>
      <c r="E15" s="46">
        <f>E13/POWER((1+'Вхідні дані'!$B$13/12),E1)</f>
        <v>-25265.317577017828</v>
      </c>
      <c r="F15" s="46">
        <f>F13/POWER((1+'Вхідні дані'!$B$13/12),F1)</f>
        <v>-11330.441079346809</v>
      </c>
      <c r="G15" s="46">
        <f>G13/POWER((1+'Вхідні дані'!$B$13/12),G1)</f>
        <v>-10277.62037742487</v>
      </c>
      <c r="H15" s="46">
        <f>H13/POWER((1+'Вхідні дані'!$B$13/12),H1)</f>
        <v>-9602.9540602755569</v>
      </c>
      <c r="I15" s="46">
        <f>I13/POWER((1+'Вхідні дані'!$B$13/12),I1)</f>
        <v>-10983.765854137015</v>
      </c>
      <c r="J15" s="46">
        <f>J13/POWER((1+'Вхідні дані'!$B$13/12),J1)</f>
        <v>-9214.9963160661755</v>
      </c>
      <c r="K15" s="46">
        <f>K13/POWER((1+'Вхідні дані'!$B$13/12),K1)</f>
        <v>-22644.730557386149</v>
      </c>
      <c r="L15" s="46">
        <f>L13/POWER((1+'Вхідні дані'!$B$13/12),L1)</f>
        <v>-31816.951842781364</v>
      </c>
      <c r="M15" s="46">
        <f>M13/POWER((1+'Вхідні дані'!$B$13/12),M1)</f>
        <v>-31167.626294969501</v>
      </c>
      <c r="N15" s="46">
        <f>N13/POWER((1+'Вхідні дані'!$B$13/12),N1)</f>
        <v>-30531.552288949712</v>
      </c>
      <c r="O15" s="46">
        <f>O13/POWER((1+'Вхідні дані'!$B$13/12),O1)</f>
        <v>-29908.459385093603</v>
      </c>
      <c r="P15" s="46">
        <f>P13/POWER((1+'Вхідні дані'!$B$13/12),P1)</f>
        <v>-29298.08266294884</v>
      </c>
      <c r="Q15" s="46">
        <f>Q13/POWER((1+'Вхідні дані'!$B$13/12),Q1)</f>
        <v>-14661.538741393215</v>
      </c>
      <c r="R15" s="46">
        <f>R13/POWER((1+'Вхідні дані'!$B$13/12),R1)</f>
        <v>1354.3864370274532</v>
      </c>
      <c r="S15" s="46">
        <f>S13/POWER((1+'Вхідні дані'!$B$13/12),S1)</f>
        <v>2288.9934547656121</v>
      </c>
      <c r="T15" s="46">
        <f>T13/POWER((1+'Вхідні дані'!$B$13/12),T1)</f>
        <v>2786.795003797713</v>
      </c>
      <c r="U15" s="46">
        <f>U13/POWER((1+'Вхідні дані'!$B$13/12),U1)</f>
        <v>-40.197112417064254</v>
      </c>
      <c r="V15" s="46">
        <f>V13/POWER((1+'Вхідні дані'!$B$13/12),V1)</f>
        <v>2674.2089499166727</v>
      </c>
      <c r="W15" s="46">
        <f>W13/POWER((1+'Вхідні дані'!$B$13/12),W1)</f>
        <v>-12443.536415661249</v>
      </c>
      <c r="X15" s="46">
        <f>X13/POWER((1+'Вхідні дані'!$B$13/12),X1)</f>
        <v>-24341.387437273821</v>
      </c>
      <c r="Y15" s="46">
        <f>Y13/POWER((1+'Вхідні дані'!$B$13/12),Y1)</f>
        <v>-23844.624428349867</v>
      </c>
      <c r="Z15" s="46">
        <f>Z13/POWER((1+'Вхідні дані'!$B$13/12),Z1)</f>
        <v>-23357.999440016196</v>
      </c>
      <c r="AA15" s="46">
        <f>AA13/POWER((1+'Вхідні дані'!$B$13/12),AA1)</f>
        <v>-22881.30557389342</v>
      </c>
      <c r="AB15" s="46">
        <f>AB13/POWER((1+'Вхідні дані'!$B$13/12),AB1)</f>
        <v>-22414.340154018049</v>
      </c>
      <c r="AC15" s="46">
        <f>AC13/POWER((1+'Вхідні дані'!$B$13/12),AC1)</f>
        <v>-5514.7894873515415</v>
      </c>
      <c r="AD15" s="46">
        <f>AD13/POWER((1+'Вхідні дані'!$B$13/12),AD1)</f>
        <v>13005.25641727246</v>
      </c>
      <c r="AE15" s="46">
        <f>AE13/POWER((1+'Вхідні дані'!$B$13/12),AE1)</f>
        <v>13866.832766739901</v>
      </c>
      <c r="AF15" s="46">
        <f>AF13/POWER((1+'Вхідні дані'!$B$13/12),AF1)</f>
        <v>13583.836179663578</v>
      </c>
      <c r="AG15" s="46">
        <f>AG13/POWER((1+'Вхідні дані'!$B$13/12),AG1)</f>
        <v>10062.236389848222</v>
      </c>
      <c r="AH15" s="46">
        <f>AH13/POWER((1+'Вхідні дані'!$B$13/12),AH1)</f>
        <v>13035.051461034942</v>
      </c>
      <c r="AI15" s="46">
        <f>AI13/POWER((1+'Вхідні дані'!$B$13/12),AI1)</f>
        <v>-4873.038954794336</v>
      </c>
      <c r="AJ15" s="46">
        <f>AJ13/POWER((1+'Вхідні дані'!$B$13/12),AJ1)</f>
        <v>-19005.846490411055</v>
      </c>
      <c r="AK15" s="46">
        <f>AK13/POWER((1+'Вхідні дані'!$B$13/12),AK1)</f>
        <v>-18617.972072239401</v>
      </c>
      <c r="AL15" s="46">
        <f>AL13/POWER((1+'Вхідні дані'!$B$13/12),AL1)</f>
        <v>-18238.013458520232</v>
      </c>
      <c r="AM15" s="46">
        <f>AM13/POWER((1+'Вхідні дані'!$B$13/12),AM1)</f>
        <v>-17865.809102223902</v>
      </c>
      <c r="AN15" s="46">
        <f>AN13/POWER((1+'Вхідні дані'!$B$13/12),AN1)</f>
        <v>-17501.200753198929</v>
      </c>
      <c r="AO15" s="46">
        <f>AO13/POWER((1+'Вхідні дані'!$B$13/12),AO1)</f>
        <v>-4305.9682893439422</v>
      </c>
      <c r="AP15" s="46">
        <f>AP13/POWER((1+'Вхідні дані'!$B$13/12),AP1)</f>
        <v>10154.55292645376</v>
      </c>
      <c r="AQ15" s="46">
        <f>AQ13/POWER((1+'Вхідні дані'!$B$13/12),AQ1)</f>
        <v>10827.274967460839</v>
      </c>
      <c r="AR15" s="46">
        <f>AR13/POWER((1+'Вхідні дані'!$B$13/12),AR1)</f>
        <v>10606.310172206538</v>
      </c>
      <c r="AS15" s="46">
        <f>AS13/POWER((1+'Вхідні дані'!$B$13/12),AS1)</f>
        <v>7856.6318649049781</v>
      </c>
      <c r="AT15" s="46">
        <f>AT13/POWER((1+'Вхідні дані'!$B$13/12),AT1)</f>
        <v>10177.817008231514</v>
      </c>
      <c r="AU15" s="46">
        <f>AU13/POWER((1+'Вхідні дані'!$B$13/12),AU1)</f>
        <v>-3804.8870696167301</v>
      </c>
      <c r="AV15" s="46">
        <f>AV13/POWER((1+'Вхідні дані'!$B$13/12),AV1)</f>
        <v>-14839.836132920378</v>
      </c>
      <c r="AW15" s="46">
        <f>AW13/POWER((1+'Вхідні дані'!$B$13/12),AW1)</f>
        <v>-14536.982334289352</v>
      </c>
      <c r="AX15" s="46">
        <f>AX13/POWER((1+'Вхідні дані'!$B$13/12),AX1)</f>
        <v>-14240.309225426305</v>
      </c>
      <c r="AY15" s="46">
        <f>AY13/POWER((1+'Вхідні дані'!$B$13/12),AY1)</f>
        <v>-13949.690669805361</v>
      </c>
      <c r="AZ15" s="46">
        <f>AZ13/POWER((1+'Вхідні дані'!$B$13/12),AZ1)</f>
        <v>-13665.003105115458</v>
      </c>
      <c r="BA15" s="46">
        <f>BA13/POWER((1+'Вхідні дані'!$B$13/12),BA1)</f>
        <v>-3362.1161698667161</v>
      </c>
      <c r="BB15" s="46">
        <f>BB13/POWER((1+'Вхідні дані'!$B$13/12),BB1)</f>
        <v>7928.712962491245</v>
      </c>
      <c r="BC15" s="46">
        <f>BC13/POWER((1+'Вхідні дані'!$B$13/12),BC1)</f>
        <v>8453.976852030999</v>
      </c>
      <c r="BD15" s="46">
        <f>BD13/POWER((1+'Вхідні дані'!$B$13/12),BD1)</f>
        <v>8281.4467121936341</v>
      </c>
      <c r="BE15" s="46">
        <f>BE13/POWER((1+'Вхідні дані'!$B$13/12),BE1)</f>
        <v>6793.8042585042958</v>
      </c>
      <c r="BF15" s="46">
        <f>BF13/POWER((1+'Вхідні дані'!$B$13/12),BF1)</f>
        <v>7946.8776446872698</v>
      </c>
      <c r="BG15" s="46">
        <f>BG13/POWER((1+'Вхідні дані'!$B$13/12),BG1)</f>
        <v>-3603.5504615120976</v>
      </c>
      <c r="BH15" s="46">
        <f>BH13/POWER((1+'Вхідні дані'!$B$13/12),BH1)</f>
        <v>-11586.999640507271</v>
      </c>
      <c r="BI15" s="46">
        <f>BI13/POWER((1+'Вхідні дані'!$B$13/12),BI1)</f>
        <v>-11350.530260088755</v>
      </c>
      <c r="BJ15" s="46">
        <f>BJ13/POWER((1+'Вхідні дані'!$B$13/12),BJ1)</f>
        <v>-11118.886785393064</v>
      </c>
      <c r="BK15" s="46">
        <f>BK13/POWER((1+'Вхідні дані'!$B$13/12),BK1)</f>
        <v>-10891.970728548311</v>
      </c>
      <c r="BL15" s="46">
        <f>BL13/POWER((1+'Вхідні дані'!$B$13/12),BL1)</f>
        <v>-10669.685611639165</v>
      </c>
      <c r="BM15" s="46">
        <f>BM13/POWER((1+'Вхідні дані'!$B$13/12),BM1)</f>
        <v>8472.6817329197438</v>
      </c>
      <c r="BN15" s="46">
        <f>BN13/POWER((1+'Вхідні дані'!$B$13/12),BN1)</f>
        <v>17062.116992242001</v>
      </c>
      <c r="BO15" s="46">
        <f>BO13/POWER((1+'Вхідні дані'!$B$13/12),BO1)</f>
        <v>17250.38075554866</v>
      </c>
      <c r="BP15" s="46">
        <f>BP13/POWER((1+'Вхідні дані'!$B$13/12),BP1)</f>
        <v>16898.33216870073</v>
      </c>
      <c r="BQ15" s="46">
        <f>BQ13/POWER((1+'Вхідні дані'!$B$13/12),BQ1)</f>
        <v>15523.87439785833</v>
      </c>
      <c r="BR15" s="46">
        <f>BR13/POWER((1+'Вхідні дані'!$B$13/12),BR1)</f>
        <v>16215.642364300911</v>
      </c>
      <c r="BS15" s="46">
        <f>BS13/POWER((1+'Вхідні дані'!$B$13/12),BS1)</f>
        <v>6992.7250259493758</v>
      </c>
      <c r="BT15" s="46">
        <f>BT13/POWER((1+'Вхідні дані'!$B$13/12),BT1)</f>
        <v>559.08757916794252</v>
      </c>
      <c r="BU15" s="46">
        <f>BU13/POWER((1+'Вхідні дані'!$B$13/12),BU1)</f>
        <v>547.67762857267849</v>
      </c>
      <c r="BV15" s="46">
        <f>BV13/POWER((1+'Вхідні дані'!$B$13/12),BV1)</f>
        <v>536.50053411201156</v>
      </c>
      <c r="BW15" s="46">
        <f>BW13/POWER((1+'Вхідні дані'!$B$13/12),BW1)</f>
        <v>525.55154361992982</v>
      </c>
      <c r="BX15" s="46">
        <f>BX13/POWER((1+'Вхідні дані'!$B$13/12),BX1)</f>
        <v>514.82600191340077</v>
      </c>
      <c r="BY15" s="46">
        <f>BY13/POWER((1+'Вхідні дані'!$B$13/12),BY1)</f>
        <v>6615.5016345287504</v>
      </c>
      <c r="BZ15" s="46">
        <f>BZ13/POWER((1+'Вхідні дані'!$B$13/12),BZ1)</f>
        <v>13322.164859814748</v>
      </c>
      <c r="CA15" s="46">
        <f>CA13/POWER((1+'Вхідні дані'!$B$13/12),CA1)</f>
        <v>13469.161911413963</v>
      </c>
      <c r="CB15" s="46">
        <f>CB13/POWER((1+'Вхідні дані'!$B$13/12),CB1)</f>
        <v>13194.281056078986</v>
      </c>
      <c r="CC15" s="46">
        <f>CC13/POWER((1+'Вхідні дані'!$B$13/12),CC1)</f>
        <v>12121.099280081218</v>
      </c>
      <c r="CD15" s="46">
        <f>CD13/POWER((1+'Вхідні дані'!$B$13/12),CD1)</f>
        <v>12661.234299544351</v>
      </c>
      <c r="CE15" s="46">
        <f>CE13/POWER((1+'Вхідні дані'!$B$13/12),CE1)</f>
        <v>5459.9458940182058</v>
      </c>
      <c r="CF15" s="46">
        <f>CF13/POWER((1+'Вхідні дані'!$B$13/12),CF1)</f>
        <v>436.53767607716668</v>
      </c>
      <c r="CG15" s="46">
        <f>CG13/POWER((1+'Вхідні дані'!$B$13/12),CG1)</f>
        <v>427.62874391232663</v>
      </c>
      <c r="CH15" s="46">
        <f>CH13/POWER((1+'Вхідні дані'!$B$13/12),CH1)</f>
        <v>418.90162668962608</v>
      </c>
      <c r="CI15" s="46">
        <f>CI13/POWER((1+'Вхідні дані'!$B$13/12),CI1)</f>
        <v>410.35261390004189</v>
      </c>
      <c r="CJ15" s="46">
        <f>CJ13/POWER((1+'Вхідні дані'!$B$13/12),CJ1)</f>
        <v>401.97807075922481</v>
      </c>
      <c r="CK15" s="46">
        <f>CK13/POWER((1+'Вхідні дані'!$B$13/12),CK1)</f>
        <v>5165.408456971616</v>
      </c>
      <c r="CL15" s="46">
        <f>CL13/POWER((1+'Вхідні дані'!$B$13/12),CL1)</f>
        <v>10401.996225484891</v>
      </c>
      <c r="CM15" s="46">
        <f>CM13/POWER((1+'Вхідні дані'!$B$13/12),CM1)</f>
        <v>10516.772074003678</v>
      </c>
      <c r="CN15" s="46">
        <f>CN13/POWER((1+'Вхідні дані'!$B$13/12),CN1)</f>
        <v>10302.144072493402</v>
      </c>
      <c r="CO15" s="46">
        <f>CO13/POWER((1+'Вхідні дані'!$B$13/12),CO1)</f>
        <v>9464.1997218075048</v>
      </c>
      <c r="CP15" s="46">
        <f>CP13/POWER((1+'Вхідні дані'!$B$13/12),CP1)</f>
        <v>9885.9391682735532</v>
      </c>
      <c r="CQ15" s="46">
        <f>CQ13/POWER((1+'Вхідні дані'!$B$13/12),CQ1)</f>
        <v>4263.1462062329447</v>
      </c>
      <c r="CR15" s="46">
        <f>CR13/POWER((1+'Вхідні дані'!$B$13/12),CR1)</f>
        <v>340.85025268931975</v>
      </c>
      <c r="CS15" s="46">
        <f>CS13/POWER((1+'Вхідні дані'!$B$13/12),CS1)</f>
        <v>333.89412508341536</v>
      </c>
      <c r="CT15" s="46">
        <f>CT13/POWER((1+'Вхідні дані'!$B$13/12),CT1)</f>
        <v>327.07995926538649</v>
      </c>
      <c r="CU15" s="46">
        <f>CU13/POWER((1+'Вхідні дані'!$B$13/12),CU1)</f>
        <v>320.40485805588884</v>
      </c>
      <c r="CV15" s="46">
        <f>CV13/POWER((1+'Вхідні дані'!$B$13/12),CV1)</f>
        <v>313.86598340168712</v>
      </c>
      <c r="CW15" s="46">
        <f>CW13/POWER((1+'Вхідні дані'!$B$13/12),CW1)</f>
        <v>4033.1702720914709</v>
      </c>
      <c r="CX15" s="46">
        <f>CX13/POWER((1+'Вхідні дані'!$B$13/12),CX1)</f>
        <v>8121.9176172622829</v>
      </c>
      <c r="CY15" s="46">
        <f>CY13/POWER((1+'Вхідні дані'!$B$13/12),CY1)</f>
        <v>8211.5350297198147</v>
      </c>
      <c r="CZ15" s="46">
        <f>CZ13/POWER((1+'Вхідні дані'!$B$13/12),CZ1)</f>
        <v>8043.9526821745158</v>
      </c>
      <c r="DA15" s="46">
        <f>DA13/POWER((1+'Вхідні дані'!$B$13/12),DA1)</f>
        <v>7389.6825943381837</v>
      </c>
      <c r="DB15" s="46">
        <f>DB13/POWER((1+'Вхідні дані'!$B$13/12),DB1)</f>
        <v>7718.9783339150708</v>
      </c>
      <c r="DC15" s="46">
        <f>DC13/POWER((1+'Вхідні дані'!$B$13/12),DC1)</f>
        <v>3328.680526968194</v>
      </c>
      <c r="DD15" s="46">
        <f>DD13/POWER((1+'Вхідні дані'!$B$13/12),DD1)</f>
        <v>266.13715407656184</v>
      </c>
      <c r="DE15" s="46">
        <f>DE13/POWER((1+'Вхідні дані'!$B$13/12),DE1)</f>
        <v>260.70578358520351</v>
      </c>
      <c r="DF15" s="46">
        <f>DF13/POWER((1+'Вхідні дані'!$B$13/12),DF1)</f>
        <v>255.38525738958705</v>
      </c>
      <c r="DG15" s="46">
        <f>DG13/POWER((1+'Вхідні дані'!$B$13/12),DG1)</f>
        <v>250.17331336122822</v>
      </c>
      <c r="DH15" s="46">
        <f>DH13/POWER((1+'Вхідні дані'!$B$13/12),DH1)</f>
        <v>245.06773553752973</v>
      </c>
      <c r="DI15" s="46">
        <f>DI13/POWER((1+'Вхідні дані'!$B$13/12),DI1)</f>
        <v>3149.1144561332753</v>
      </c>
      <c r="DJ15" s="46">
        <f>DJ13/POWER((1+'Вхідні дані'!$B$13/12),DJ1)</f>
        <v>6341.6236991107398</v>
      </c>
      <c r="DK15" s="46">
        <f>DK13/POWER((1+'Вхідні дані'!$B$13/12),DK1)</f>
        <v>6411.597310451707</v>
      </c>
      <c r="DL15" s="46">
        <f>DL13/POWER((1+'Вхідні дані'!$B$13/12),DL1)</f>
        <v>6280.7483857486122</v>
      </c>
      <c r="DM15" s="46">
        <f>DM13/POWER((1+'Вхідні дані'!$B$13/12),DM1)</f>
        <v>5769.8918503629793</v>
      </c>
      <c r="DN15" s="46">
        <f>DN13/POWER((1+'Вхідні дані'!$B$13/12),DN1)</f>
        <v>6027.0071973197846</v>
      </c>
      <c r="DO15" s="46">
        <f>DO13/POWER((1+'Вхідні дані'!$B$13/12),DO1)</f>
        <v>2599.0462242222761</v>
      </c>
      <c r="DP15" s="46">
        <f>DP13/POWER((1+'Вхідні дані'!$B$13/12),DP1)</f>
        <v>207.80088681504148</v>
      </c>
      <c r="DQ15" s="46">
        <f>DQ13/POWER((1+'Вхідні дані'!$B$13/12),DQ1)</f>
        <v>203.56005239024472</v>
      </c>
      <c r="DR15" s="46">
        <f>DR13/POWER((1+'Вхідні дані'!$B$13/12),DR1)</f>
        <v>199.40576560677033</v>
      </c>
      <c r="DS15" s="46">
        <f>DS13/POWER((1+'Вхідні дані'!$B$13/12),DS1)</f>
        <v>195.33626018622402</v>
      </c>
      <c r="DT15" s="46">
        <f>DT13/POWER((1+'Вхідні дані'!$B$13/12),DT1)</f>
        <v>191.34980589670928</v>
      </c>
      <c r="DU15" s="46">
        <f>DU13/POWER((1+'Вхідні дані'!$B$13/12),DU1)</f>
        <v>2458.8403634853184</v>
      </c>
      <c r="DV15" s="46">
        <f>DV13/POWER((1+'Вхідні дані'!$B$13/12),DV1)</f>
        <v>4951.5635390893003</v>
      </c>
      <c r="DW15" s="46">
        <f>DW13/POWER((1+'Вхідні дані'!$B$13/12),DW1)</f>
        <v>5006.1991969355595</v>
      </c>
      <c r="DX15" s="46">
        <f>DX13/POWER((1+'Вхідні дані'!$B$13/12),DX1)</f>
        <v>4904.0318663858552</v>
      </c>
      <c r="DY15" s="46">
        <f>DY13/POWER((1+'Вхідні дані'!$B$13/12),DY1)</f>
        <v>4505.1531699605703</v>
      </c>
      <c r="DZ15" s="46">
        <f>DZ13/POWER((1+'Вхідні дані'!$B$13/12),DZ1)</f>
        <v>4705.9097959820956</v>
      </c>
      <c r="EA15" s="46">
        <f>EA13/POWER((1+'Вхідні дані'!$B$13/12),EA1)</f>
        <v>2029.3450275315702</v>
      </c>
      <c r="EB15" s="46">
        <f>EB13/POWER((1+'Вхідні дані'!$B$13/12),EB1)</f>
        <v>162.25171081785666</v>
      </c>
      <c r="EC15" s="46">
        <f>EC13/POWER((1+'Вхідні дані'!$B$13/12),EC1)</f>
        <v>158.94045141341061</v>
      </c>
      <c r="ED15" s="46">
        <f>ED13/POWER((1+'Вхідні дані'!$B$13/12),ED1)</f>
        <v>155.69676873150425</v>
      </c>
      <c r="EE15" s="46">
        <f>EE13/POWER((1+'Вхідні дані'!$B$13/12),EE1)</f>
        <v>152.51928365535113</v>
      </c>
      <c r="EF15" s="46">
        <f>EF13/POWER((1+'Вхідні дані'!$B$13/12),EF1)</f>
        <v>149.40664521340526</v>
      </c>
      <c r="EG15" s="46">
        <f>EG13/POWER((1+'Вхідні дані'!$B$13/12),EG1)</f>
        <v>1919.8717662768688</v>
      </c>
      <c r="EH15" s="46">
        <f>EH13/POWER((1+'Вхідні дані'!$B$13/12),EH1)</f>
        <v>3866.1993591762034</v>
      </c>
      <c r="EI15" s="46">
        <f>EI13/POWER((1+'Вхідні дані'!$B$13/12),EI1)</f>
        <v>3908.8590854799932</v>
      </c>
      <c r="EJ15" s="46">
        <f>EJ13/POWER((1+'Вхідні дані'!$B$13/12),EJ1)</f>
        <v>3829.0864510824431</v>
      </c>
      <c r="EK15" s="46">
        <f>EK13/POWER((1+'Вхідні дані'!$B$13/12),EK1)</f>
        <v>3517.6404707705142</v>
      </c>
      <c r="EL15" s="46">
        <f>EL13/POWER((1+'Вхідні дані'!$B$13/12),EL1)</f>
        <v>3674.39199637399</v>
      </c>
      <c r="EM15" s="46">
        <f>EM13/POWER((1+'Вхідні дані'!$B$13/12),EM1)</f>
        <v>1584.5201991355223</v>
      </c>
      <c r="EN15" s="46">
        <f>EN13/POWER((1+'Вхідні дані'!$B$13/12),EN1)</f>
        <v>126.6867435784967</v>
      </c>
      <c r="EO15" s="46">
        <f>EO13/POWER((1+'Вхідні дані'!$B$13/12),EO1)</f>
        <v>124.1012998319968</v>
      </c>
      <c r="EP15" s="46">
        <f>EP13/POWER((1+'Вхідні дані'!$B$13/12),EP1)</f>
        <v>121.56862024358871</v>
      </c>
      <c r="EQ15" s="46">
        <f>EQ13/POWER((1+'Вхідні дані'!$B$13/12),EQ1)</f>
        <v>119.08762799371958</v>
      </c>
      <c r="ER15" s="46">
        <f>ER13/POWER((1+'Вхідні дані'!$B$13/12),ER1)</f>
        <v>116.65726823874571</v>
      </c>
      <c r="ES15" s="46">
        <f>ES13/POWER((1+'Вхідні дані'!$B$13/12),ES1)</f>
        <v>1499.0430666765299</v>
      </c>
      <c r="ET15" s="46">
        <f>ET13/POWER((1+'Вхідні дані'!$B$13/12),ET1)</f>
        <v>3018.7429418796573</v>
      </c>
      <c r="EU15" s="46">
        <f>EU13/POWER((1+'Вхідні дані'!$B$13/12),EU1)</f>
        <v>3052.0518159749458</v>
      </c>
      <c r="EV15" s="46">
        <f>EV13/POWER((1+'Вхідні дані'!$B$13/12),EV1)</f>
        <v>2989.7650442203553</v>
      </c>
      <c r="EW15" s="46">
        <f>EW13/POWER((1+'Вхідні дані'!$B$13/12),EW1)</f>
        <v>2746.586856160297</v>
      </c>
      <c r="EX15" s="46">
        <f>EX13/POWER((1+'Вхідні дані'!$B$13/12),EX1)</f>
        <v>2868.9790345204915</v>
      </c>
      <c r="EY15" s="46">
        <f>EY13/POWER((1+'Вхідні дані'!$B$13/12),EY1)</f>
        <v>1237.1993068731219</v>
      </c>
      <c r="EZ15" s="46">
        <f>EZ13/POWER((1+'Вхідні дані'!$B$13/12),EZ1)</f>
        <v>98.917483936677513</v>
      </c>
      <c r="FA15" s="46">
        <f>FA13/POWER((1+'Вхідні дані'!$B$13/12),FA1)</f>
        <v>96.898759774704516</v>
      </c>
      <c r="FB15" s="46">
        <f>FB13/POWER((1+'Вхідні дані'!$B$13/12),FB1)</f>
        <v>94.921234065016662</v>
      </c>
      <c r="FC15" s="46">
        <f>FC13/POWER((1+'Вхідні дані'!$B$13/12),FC1)</f>
        <v>92.984066022873478</v>
      </c>
      <c r="FD15" s="46">
        <f>FD13/POWER((1+'Вхідні дані'!$B$13/12),FD1)</f>
        <v>91.086432022406697</v>
      </c>
      <c r="FE15" s="46">
        <f>FE13/POWER((1+'Вхідні дані'!$B$13/12),FE1)</f>
        <v>1170.4584416639163</v>
      </c>
      <c r="FF15" s="46">
        <f>FF13/POWER((1+'Вхідні дані'!$B$13/12),FF1)</f>
        <v>2357.0457968028782</v>
      </c>
      <c r="FG15" s="46">
        <f>FG13/POWER((1+'Вхідні дані'!$B$13/12),FG1)</f>
        <v>2383.0534904668007</v>
      </c>
      <c r="FH15" s="46">
        <f>FH13/POWER((1+'Вхідні дані'!$B$13/12),FH1)</f>
        <v>2334.4197457633973</v>
      </c>
      <c r="FI15" s="46">
        <f>FI13/POWER((1+'Вхідні дані'!$B$13/12),FI1)</f>
        <v>2144.5453056150741</v>
      </c>
      <c r="FJ15" s="46">
        <f>FJ13/POWER((1+'Вхідні дані'!$B$13/12),FJ1)</f>
        <v>2240.1095769424687</v>
      </c>
      <c r="FK15" s="46">
        <f>FK13/POWER((1+'Вхідні дані'!$B$13/12),FK1)</f>
        <v>966.00985317980019</v>
      </c>
      <c r="FL15" s="46">
        <f>FL13/POWER((1+'Вхідні дані'!$B$13/12),FL1)</f>
        <v>77.235141988633956</v>
      </c>
      <c r="FM15" s="46">
        <f>FM13/POWER((1+'Вхідні дані'!$B$13/12),FM1)</f>
        <v>75.658914601110823</v>
      </c>
      <c r="FN15" s="46">
        <f>FN13/POWER((1+'Вхідні дані'!$B$13/12),FN1)</f>
        <v>74.114855119455498</v>
      </c>
      <c r="FO15" s="46">
        <f>FO13/POWER((1+'Вхідні дані'!$B$13/12),FO1)</f>
        <v>72.602307055793133</v>
      </c>
      <c r="FP15" s="46">
        <f>FP13/POWER((1+'Вхідні дані'!$B$13/12),FP1)</f>
        <v>71.120627319960661</v>
      </c>
      <c r="FQ15" s="46">
        <f>FQ13/POWER((1+'Вхідні дані'!$B$13/12),FQ1)</f>
        <v>913.89833562263004</v>
      </c>
      <c r="FR15" s="46">
        <f>FR13/POWER((1+'Вхідні дані'!$B$13/12),FR1)</f>
        <v>1840.3901873031987</v>
      </c>
      <c r="FS15" s="46">
        <f>FS13/POWER((1+'Вхідні дані'!$B$13/12),FS1)</f>
        <v>1860.6970919371249</v>
      </c>
      <c r="FT15" s="46">
        <f>FT13/POWER((1+'Вхідні дані'!$B$13/12),FT1)</f>
        <v>1822.7236818975919</v>
      </c>
      <c r="FU15" s="46">
        <f>FU13/POWER((1+'Вхідні дані'!$B$13/12),FU1)</f>
        <v>1674.4690077870378</v>
      </c>
      <c r="FV15" s="46">
        <f>FV13/POWER((1+'Вхідні дані'!$B$13/12),FV1)</f>
        <v>1749.0859488096844</v>
      </c>
      <c r="FW15" s="46">
        <f>FW13/POWER((1+'Вхідні дані'!$B$13/12),FW1)</f>
        <v>754.26411189879423</v>
      </c>
      <c r="FX15" s="46">
        <f>FX13/POWER((1+'Вхідні дані'!$B$13/12),FX1)</f>
        <v>60.305488176621438</v>
      </c>
      <c r="FY15" s="46">
        <f>FY13/POWER((1+'Вхідні дані'!$B$13/12),FY1)</f>
        <v>59.074763928118976</v>
      </c>
      <c r="FZ15" s="46">
        <f>FZ13/POWER((1+'Вхідні дані'!$B$13/12),FZ1)</f>
        <v>57.869156501014501</v>
      </c>
      <c r="GA15" s="46">
        <f>GA13/POWER((1+'Вхідні дані'!$B$13/12),GA1)</f>
        <v>56.688153307116252</v>
      </c>
      <c r="GB15" s="46">
        <f>GB13/POWER((1+'Вхідні дані'!$B$13/12),GB1)</f>
        <v>55.531252219215936</v>
      </c>
      <c r="GC15" s="46">
        <f>GC13/POWER((1+'Вхідні дані'!$B$13/12),GC1)</f>
        <v>713.57524378779613</v>
      </c>
      <c r="GD15" s="46">
        <f>GD13/POWER((1+'Вхідні дані'!$B$13/12),GD1)</f>
        <v>1436.9835520871575</v>
      </c>
      <c r="GE15" s="46">
        <f>GE13/POWER((1+'Вхідні дані'!$B$13/12),GE1)</f>
        <v>1452.8392592921136</v>
      </c>
      <c r="GF15" s="46">
        <f>GF13/POWER((1+'Вхідні дані'!$B$13/12),GF1)</f>
        <v>1423.189478490234</v>
      </c>
      <c r="GG15" s="46">
        <f>GG13/POWER((1+'Вхідні дані'!$B$13/12),GG1)</f>
        <v>1307.4316736037149</v>
      </c>
      <c r="GH15" s="46">
        <f>GH13/POWER((1+'Вхідні дані'!$B$13/12),GH1)</f>
        <v>1365.6928606586835</v>
      </c>
      <c r="GI15" s="46">
        <f>GI13/POWER((1+'Вхідні дані'!$B$13/12),GI1)</f>
        <v>588.93224393704668</v>
      </c>
      <c r="GJ15" s="46">
        <f>GJ13/POWER((1+'Вхідні дані'!$B$13/12),GJ1)</f>
        <v>47.086751064118182</v>
      </c>
      <c r="GK15" s="46">
        <f>GK13/POWER((1+'Вхідні дані'!$B$13/12),GK1)</f>
        <v>46.125796960768831</v>
      </c>
      <c r="GL15" s="46">
        <f>GL13/POWER((1+'Вхідні дані'!$B$13/12),GL1)</f>
        <v>45.184454165651104</v>
      </c>
      <c r="GM15" s="46">
        <f>GM13/POWER((1+'Вхідні дані'!$B$13/12),GM1)</f>
        <v>44.262322447984765</v>
      </c>
      <c r="GN15" s="46">
        <f>GN13/POWER((1+'Вхідні дані'!$B$13/12),GN1)</f>
        <v>43.359009744964673</v>
      </c>
      <c r="GO15" s="46">
        <f>GO13/POWER((1+'Вхідні дані'!$B$13/12),GO1)</f>
        <v>557.16222330124583</v>
      </c>
      <c r="GP15" s="46">
        <f>GP13/POWER((1+'Вхідні дані'!$B$13/12),GP1)</f>
        <v>1122.002140206388</v>
      </c>
      <c r="GQ15" s="46">
        <f>GQ13/POWER((1+'Вхідні дані'!$B$13/12),GQ1)</f>
        <v>1134.3823357852498</v>
      </c>
      <c r="GR15" s="46">
        <f>GR13/POWER((1+'Вхідні дані'!$B$13/12),GR1)</f>
        <v>1111.2316758712652</v>
      </c>
      <c r="GS15" s="46">
        <f>GS13/POWER((1+'Вхідні дані'!$B$13/12),GS1)</f>
        <v>1020.8475482035396</v>
      </c>
      <c r="GT15" s="46">
        <f>GT13/POWER((1+'Вхідні дані'!$B$13/12),GT1)</f>
        <v>1066.3381012942089</v>
      </c>
      <c r="GU15" s="46">
        <f>GU13/POWER((1+'Вхідні дані'!$B$13/12),GU1)</f>
        <v>459.84050212276782</v>
      </c>
      <c r="GV15" s="46">
        <f>GV13/POWER((1+'Вхідні дані'!$B$13/12),GV1)</f>
        <v>36.765511611159788</v>
      </c>
      <c r="GW15" s="46">
        <f>GW13/POWER((1+'Вхідні дані'!$B$13/12),GW1)</f>
        <v>36.01519504766673</v>
      </c>
      <c r="GX15" s="46">
        <f>GX13/POWER((1+'Вхідні дані'!$B$13/12),GX1)</f>
        <v>35.280191067102095</v>
      </c>
      <c r="GY15" s="46">
        <f>GY13/POWER((1+'Вхідні дані'!$B$13/12),GY1)</f>
        <v>34.560187167773492</v>
      </c>
      <c r="GZ15" s="46">
        <f>GZ13/POWER((1+'Вхідні дані'!$B$13/12),GZ1)</f>
        <v>33.854877225574043</v>
      </c>
      <c r="HA15" s="46">
        <f>HA13/POWER((1+'Вхідні дані'!$B$13/12),HA1)</f>
        <v>435.03435100433967</v>
      </c>
      <c r="HB15" s="46">
        <f>HB13/POWER((1+'Вхідні дані'!$B$13/12),HB1)</f>
        <v>876.06347393415376</v>
      </c>
      <c r="HC15" s="46">
        <f>HC13/POWER((1+'Вхідні дані'!$B$13/12),HC1)</f>
        <v>885.72997701658733</v>
      </c>
      <c r="HD15" s="46">
        <f>HD13/POWER((1+'Вхідні дані'!$B$13/12),HD1)</f>
        <v>867.65385503665709</v>
      </c>
      <c r="HE15" s="46">
        <f>HE13/POWER((1+'Вхідні дані'!$B$13/12),HE1)</f>
        <v>797.08158958756383</v>
      </c>
      <c r="HF15" s="46">
        <f>HF13/POWER((1+'Вхідні дані'!$B$13/12),HF1)</f>
        <v>832.60078384192343</v>
      </c>
      <c r="HG15" s="46">
        <f>HG13/POWER((1+'Вхідні дані'!$B$13/12),HG1)</f>
        <v>359.04518655480899</v>
      </c>
      <c r="HH15" s="46">
        <f>HH13/POWER((1+'Вхідні дані'!$B$13/12),HH1)</f>
        <v>28.706649184389612</v>
      </c>
      <c r="HI15" s="46">
        <f>HI13/POWER((1+'Вхідні дані'!$B$13/12),HI1)</f>
        <v>28.120799201034721</v>
      </c>
      <c r="HJ15" s="46">
        <f>HJ13/POWER((1+'Вхідні дані'!$B$13/12),HJ1)</f>
        <v>27.546905339789113</v>
      </c>
      <c r="HK15" s="46">
        <f>HK13/POWER((1+'Вхідні дані'!$B$13/12),HK1)</f>
        <v>26.98472359816077</v>
      </c>
      <c r="HL15" s="46">
        <f>HL13/POWER((1+'Вхідні дані'!$B$13/12),HL1)</f>
        <v>26.434014953300348</v>
      </c>
      <c r="HM15" s="46">
        <f>HM13/POWER((1+'Вхідні дані'!$B$13/12),HM1)</f>
        <v>339.67645084121386</v>
      </c>
      <c r="HN15" s="46">
        <f>HN13/POWER((1+'Вхідні дані'!$B$13/12),HN1)</f>
        <v>684.03364205740399</v>
      </c>
      <c r="HO15" s="46">
        <f>HO13/POWER((1+'Вхідні дані'!$B$13/12),HO1)</f>
        <v>691.58128387351871</v>
      </c>
      <c r="HP15" s="46">
        <f>HP13/POWER((1+'Вхідні дані'!$B$13/12),HP1)</f>
        <v>677.46738012099797</v>
      </c>
      <c r="HQ15" s="46">
        <f>HQ13/POWER((1+'Вхідні дані'!$B$13/12),HQ1)</f>
        <v>622.36429090464117</v>
      </c>
      <c r="HR15" s="46">
        <f>HR13/POWER((1+'Вхідні дані'!$B$13/12),HR1)</f>
        <v>650.09781082831307</v>
      </c>
      <c r="HS15" s="46">
        <f>HS13/POWER((1+'Вхідні дані'!$B$13/12),HS1)</f>
        <v>280.34382659437949</v>
      </c>
      <c r="HT15" s="46">
        <f>HT13/POWER((1+'Вхідні дані'!$B$13/12),HT1)</f>
        <v>22.414259214210919</v>
      </c>
      <c r="HU15" s="46">
        <f>HU13/POWER((1+'Вхідні дані'!$B$13/12),HU1)</f>
        <v>21.956825352696409</v>
      </c>
      <c r="HV15" s="46">
        <f>HV13/POWER((1+'Вхідні дані'!$B$13/12),HV1)</f>
        <v>21.508726876110771</v>
      </c>
      <c r="HW15" s="46">
        <f>HW13/POWER((1+'Вхідні дані'!$B$13/12),HW1)</f>
        <v>21.069773266394225</v>
      </c>
      <c r="HX15" s="46">
        <f>HX13/POWER((1+'Вхідні дані'!$B$13/12),HX1)</f>
        <v>20.639777893610677</v>
      </c>
      <c r="HY15" s="46">
        <f>HY13/POWER((1+'Вхідні дані'!$B$13/12),HY1)</f>
        <v>265.22064519666537</v>
      </c>
      <c r="HZ15" s="46">
        <f>HZ13/POWER((1+'Вхідні дані'!$B$13/12),HZ1)</f>
        <v>534.09603001150242</v>
      </c>
      <c r="IA15" s="46">
        <f>IA13/POWER((1+'Вхідні дані'!$B$13/12),IA1)</f>
        <v>539.98925701392113</v>
      </c>
      <c r="IB15" s="46">
        <f>IB13/POWER((1+'Вхідні дані'!$B$13/12),IB1)</f>
        <v>528.9690680952699</v>
      </c>
      <c r="IC15" s="46">
        <f>IC13/POWER((1+'Вхідні дані'!$B$13/12),IC1)</f>
        <v>485.94436962677565</v>
      </c>
      <c r="ID15" s="46">
        <f>ID13/POWER((1+'Вхідні дані'!$B$13/12),ID1)</f>
        <v>507.59880586901363</v>
      </c>
      <c r="IE15" s="46">
        <f>IE13/POWER((1+'Вхідні дані'!$B$13/12),IE1)</f>
        <v>218.89350993313533</v>
      </c>
      <c r="IF15" s="46">
        <f>IF13/POWER((1+'Вхідні дані'!$B$13/12),IF1)</f>
        <v>17.501137555094335</v>
      </c>
      <c r="IG15" s="46">
        <f>IG13/POWER((1+'Вхідні дані'!$B$13/12),IG1)</f>
        <v>17.143971482541392</v>
      </c>
    </row>
    <row r="16" spans="1:247" ht="14.25" customHeight="1" x14ac:dyDescent="0.25">
      <c r="A16" s="57" t="s">
        <v>322</v>
      </c>
      <c r="B16" s="46">
        <f>B15</f>
        <v>-41580.231575510203</v>
      </c>
      <c r="C16" s="46">
        <f t="shared" ref="C16:BN16" si="22">B16+C15</f>
        <v>-40549.414820731363</v>
      </c>
      <c r="D16" s="46">
        <f t="shared" si="22"/>
        <v>-39539.635142580657</v>
      </c>
      <c r="E16" s="46">
        <f t="shared" si="22"/>
        <v>-64804.952719598485</v>
      </c>
      <c r="F16" s="46">
        <f t="shared" si="22"/>
        <v>-76135.393798945297</v>
      </c>
      <c r="G16" s="46">
        <f t="shared" si="22"/>
        <v>-86413.014176370169</v>
      </c>
      <c r="H16" s="46">
        <f t="shared" si="22"/>
        <v>-96015.968236645727</v>
      </c>
      <c r="I16" s="46">
        <f t="shared" si="22"/>
        <v>-106999.73409078275</v>
      </c>
      <c r="J16" s="46">
        <f t="shared" si="22"/>
        <v>-116214.73040684892</v>
      </c>
      <c r="K16" s="46">
        <f t="shared" si="22"/>
        <v>-138859.46096423507</v>
      </c>
      <c r="L16" s="46">
        <f t="shared" si="22"/>
        <v>-170676.41280701643</v>
      </c>
      <c r="M16" s="46">
        <f t="shared" si="22"/>
        <v>-201844.03910198592</v>
      </c>
      <c r="N16" s="46">
        <f t="shared" si="22"/>
        <v>-232375.59139093565</v>
      </c>
      <c r="O16" s="46">
        <f t="shared" si="22"/>
        <v>-262284.05077602924</v>
      </c>
      <c r="P16" s="46">
        <f t="shared" si="22"/>
        <v>-291582.13343897805</v>
      </c>
      <c r="Q16" s="46">
        <f t="shared" si="22"/>
        <v>-306243.67218037124</v>
      </c>
      <c r="R16" s="46">
        <f t="shared" si="22"/>
        <v>-304889.28574334376</v>
      </c>
      <c r="S16" s="46">
        <f t="shared" si="22"/>
        <v>-302600.29228857817</v>
      </c>
      <c r="T16" s="46">
        <f t="shared" si="22"/>
        <v>-299813.49728478049</v>
      </c>
      <c r="U16" s="46">
        <f t="shared" si="22"/>
        <v>-299853.69439719757</v>
      </c>
      <c r="V16" s="46">
        <f t="shared" si="22"/>
        <v>-297179.48544728092</v>
      </c>
      <c r="W16" s="46">
        <f t="shared" si="22"/>
        <v>-309623.02186294214</v>
      </c>
      <c r="X16" s="46">
        <f t="shared" si="22"/>
        <v>-333964.40930021595</v>
      </c>
      <c r="Y16" s="46">
        <f t="shared" si="22"/>
        <v>-357809.03372856579</v>
      </c>
      <c r="Z16" s="46">
        <f t="shared" si="22"/>
        <v>-381167.03316858201</v>
      </c>
      <c r="AA16" s="46">
        <f t="shared" si="22"/>
        <v>-404048.33874247543</v>
      </c>
      <c r="AB16" s="46">
        <f t="shared" si="22"/>
        <v>-426462.67889649351</v>
      </c>
      <c r="AC16" s="46">
        <f t="shared" si="22"/>
        <v>-431977.46838384506</v>
      </c>
      <c r="AD16" s="46">
        <f t="shared" si="22"/>
        <v>-418972.21196657262</v>
      </c>
      <c r="AE16" s="46">
        <f t="shared" si="22"/>
        <v>-405105.37919983274</v>
      </c>
      <c r="AF16" s="46">
        <f t="shared" si="22"/>
        <v>-391521.54302016913</v>
      </c>
      <c r="AG16" s="46">
        <f t="shared" si="22"/>
        <v>-381459.30663032091</v>
      </c>
      <c r="AH16" s="46">
        <f t="shared" si="22"/>
        <v>-368424.25516928599</v>
      </c>
      <c r="AI16" s="46">
        <f t="shared" si="22"/>
        <v>-373297.29412408033</v>
      </c>
      <c r="AJ16" s="46">
        <f t="shared" si="22"/>
        <v>-392303.14061449136</v>
      </c>
      <c r="AK16" s="46">
        <f t="shared" si="22"/>
        <v>-410921.11268673075</v>
      </c>
      <c r="AL16" s="46">
        <f t="shared" si="22"/>
        <v>-429159.12614525098</v>
      </c>
      <c r="AM16" s="46">
        <f t="shared" si="22"/>
        <v>-447024.93524747487</v>
      </c>
      <c r="AN16" s="46">
        <f t="shared" si="22"/>
        <v>-464526.13600067381</v>
      </c>
      <c r="AO16" s="46">
        <f t="shared" si="22"/>
        <v>-468832.10429001774</v>
      </c>
      <c r="AP16" s="46">
        <f t="shared" si="22"/>
        <v>-458677.55136356398</v>
      </c>
      <c r="AQ16" s="46">
        <f t="shared" si="22"/>
        <v>-447850.27639610315</v>
      </c>
      <c r="AR16" s="46">
        <f t="shared" si="22"/>
        <v>-437243.9662238966</v>
      </c>
      <c r="AS16" s="46">
        <f t="shared" si="22"/>
        <v>-429387.33435899165</v>
      </c>
      <c r="AT16" s="46">
        <f t="shared" si="22"/>
        <v>-419209.51735076011</v>
      </c>
      <c r="AU16" s="46">
        <f t="shared" si="22"/>
        <v>-423014.40442037687</v>
      </c>
      <c r="AV16" s="46">
        <f t="shared" si="22"/>
        <v>-437854.24055329728</v>
      </c>
      <c r="AW16" s="46">
        <f t="shared" si="22"/>
        <v>-452391.22288758663</v>
      </c>
      <c r="AX16" s="46">
        <f t="shared" si="22"/>
        <v>-466631.53211301292</v>
      </c>
      <c r="AY16" s="46">
        <f t="shared" si="22"/>
        <v>-480581.22278281825</v>
      </c>
      <c r="AZ16" s="46">
        <f t="shared" si="22"/>
        <v>-494246.22588793369</v>
      </c>
      <c r="BA16" s="46">
        <f t="shared" si="22"/>
        <v>-497608.34205780039</v>
      </c>
      <c r="BB16" s="46">
        <f t="shared" si="22"/>
        <v>-489679.62909530912</v>
      </c>
      <c r="BC16" s="46">
        <f t="shared" si="22"/>
        <v>-481225.65224327811</v>
      </c>
      <c r="BD16" s="46">
        <f t="shared" si="22"/>
        <v>-472944.20553108444</v>
      </c>
      <c r="BE16" s="46">
        <f t="shared" si="22"/>
        <v>-466150.40127258014</v>
      </c>
      <c r="BF16" s="46">
        <f t="shared" si="22"/>
        <v>-458203.52362789289</v>
      </c>
      <c r="BG16" s="46">
        <f t="shared" si="22"/>
        <v>-461807.07408940501</v>
      </c>
      <c r="BH16" s="46">
        <f t="shared" si="22"/>
        <v>-473394.07372991228</v>
      </c>
      <c r="BI16" s="46">
        <f t="shared" si="22"/>
        <v>-484744.60399000102</v>
      </c>
      <c r="BJ16" s="46">
        <f t="shared" si="22"/>
        <v>-495863.49077539408</v>
      </c>
      <c r="BK16" s="46">
        <f t="shared" si="22"/>
        <v>-506755.46150394238</v>
      </c>
      <c r="BL16" s="46">
        <f t="shared" si="22"/>
        <v>-517425.14711558155</v>
      </c>
      <c r="BM16" s="46">
        <f t="shared" si="22"/>
        <v>-508952.46538266179</v>
      </c>
      <c r="BN16" s="46">
        <f t="shared" si="22"/>
        <v>-491890.34839041979</v>
      </c>
      <c r="BO16" s="46">
        <f t="shared" ref="BO16:DZ16" si="23">BN16+BO15</f>
        <v>-474639.96763487114</v>
      </c>
      <c r="BP16" s="46">
        <f t="shared" si="23"/>
        <v>-457741.63546617038</v>
      </c>
      <c r="BQ16" s="46">
        <f t="shared" si="23"/>
        <v>-442217.76106831204</v>
      </c>
      <c r="BR16" s="46">
        <f t="shared" si="23"/>
        <v>-426002.11870401114</v>
      </c>
      <c r="BS16" s="46">
        <f t="shared" si="23"/>
        <v>-419009.39367806178</v>
      </c>
      <c r="BT16" s="46">
        <f t="shared" si="23"/>
        <v>-418450.30609889387</v>
      </c>
      <c r="BU16" s="46">
        <f t="shared" si="23"/>
        <v>-417902.62847032119</v>
      </c>
      <c r="BV16" s="46">
        <f t="shared" si="23"/>
        <v>-417366.1279362092</v>
      </c>
      <c r="BW16" s="46">
        <f t="shared" si="23"/>
        <v>-416840.57639258925</v>
      </c>
      <c r="BX16" s="46">
        <f t="shared" si="23"/>
        <v>-416325.75039067585</v>
      </c>
      <c r="BY16" s="46">
        <f t="shared" si="23"/>
        <v>-409710.24875614711</v>
      </c>
      <c r="BZ16" s="46">
        <f t="shared" si="23"/>
        <v>-396388.08389633236</v>
      </c>
      <c r="CA16" s="46">
        <f t="shared" si="23"/>
        <v>-382918.92198491842</v>
      </c>
      <c r="CB16" s="46">
        <f t="shared" si="23"/>
        <v>-369724.64092883945</v>
      </c>
      <c r="CC16" s="46">
        <f t="shared" si="23"/>
        <v>-357603.54164875823</v>
      </c>
      <c r="CD16" s="46">
        <f t="shared" si="23"/>
        <v>-344942.30734921386</v>
      </c>
      <c r="CE16" s="46">
        <f t="shared" si="23"/>
        <v>-339482.36145519564</v>
      </c>
      <c r="CF16" s="46">
        <f t="shared" si="23"/>
        <v>-339045.82377911848</v>
      </c>
      <c r="CG16" s="46">
        <f t="shared" si="23"/>
        <v>-338618.19503520615</v>
      </c>
      <c r="CH16" s="46">
        <f t="shared" si="23"/>
        <v>-338199.2934085165</v>
      </c>
      <c r="CI16" s="46">
        <f t="shared" si="23"/>
        <v>-337788.94079461647</v>
      </c>
      <c r="CJ16" s="46">
        <f t="shared" si="23"/>
        <v>-337386.96272385726</v>
      </c>
      <c r="CK16" s="46">
        <f t="shared" si="23"/>
        <v>-332221.55426688562</v>
      </c>
      <c r="CL16" s="46">
        <f t="shared" si="23"/>
        <v>-321819.55804140074</v>
      </c>
      <c r="CM16" s="46">
        <f t="shared" si="23"/>
        <v>-311302.78596739704</v>
      </c>
      <c r="CN16" s="46">
        <f t="shared" si="23"/>
        <v>-301000.64189490362</v>
      </c>
      <c r="CO16" s="46">
        <f t="shared" si="23"/>
        <v>-291536.44217309612</v>
      </c>
      <c r="CP16" s="46">
        <f t="shared" si="23"/>
        <v>-281650.50300482259</v>
      </c>
      <c r="CQ16" s="46">
        <f t="shared" si="23"/>
        <v>-277387.35679858964</v>
      </c>
      <c r="CR16" s="46">
        <f t="shared" si="23"/>
        <v>-277046.50654590031</v>
      </c>
      <c r="CS16" s="46">
        <f t="shared" si="23"/>
        <v>-276712.61242081691</v>
      </c>
      <c r="CT16" s="46">
        <f t="shared" si="23"/>
        <v>-276385.53246155154</v>
      </c>
      <c r="CU16" s="46">
        <f t="shared" si="23"/>
        <v>-276065.12760349567</v>
      </c>
      <c r="CV16" s="46">
        <f t="shared" si="23"/>
        <v>-275751.26162009395</v>
      </c>
      <c r="CW16" s="46">
        <f t="shared" si="23"/>
        <v>-271718.09134800249</v>
      </c>
      <c r="CX16" s="46">
        <f t="shared" si="23"/>
        <v>-263596.17373074021</v>
      </c>
      <c r="CY16" s="46">
        <f t="shared" si="23"/>
        <v>-255384.63870102039</v>
      </c>
      <c r="CZ16" s="46">
        <f t="shared" si="23"/>
        <v>-247340.68601884588</v>
      </c>
      <c r="DA16" s="46">
        <f t="shared" si="23"/>
        <v>-239951.00342450771</v>
      </c>
      <c r="DB16" s="46">
        <f t="shared" si="23"/>
        <v>-232232.02509059265</v>
      </c>
      <c r="DC16" s="46">
        <f t="shared" si="23"/>
        <v>-228903.34456362444</v>
      </c>
      <c r="DD16" s="46">
        <f t="shared" si="23"/>
        <v>-228637.20740954787</v>
      </c>
      <c r="DE16" s="46">
        <f t="shared" si="23"/>
        <v>-228376.50162596267</v>
      </c>
      <c r="DF16" s="46">
        <f t="shared" si="23"/>
        <v>-228121.11636857307</v>
      </c>
      <c r="DG16" s="46">
        <f t="shared" si="23"/>
        <v>-227870.94305521186</v>
      </c>
      <c r="DH16" s="46">
        <f t="shared" si="23"/>
        <v>-227625.87531967432</v>
      </c>
      <c r="DI16" s="46">
        <f t="shared" si="23"/>
        <v>-224476.76086354104</v>
      </c>
      <c r="DJ16" s="46">
        <f t="shared" si="23"/>
        <v>-218135.13716443031</v>
      </c>
      <c r="DK16" s="46">
        <f t="shared" si="23"/>
        <v>-211723.53985397861</v>
      </c>
      <c r="DL16" s="46">
        <f t="shared" si="23"/>
        <v>-205442.79146822999</v>
      </c>
      <c r="DM16" s="46">
        <f t="shared" si="23"/>
        <v>-199672.89961786702</v>
      </c>
      <c r="DN16" s="46">
        <f t="shared" si="23"/>
        <v>-193645.89242054723</v>
      </c>
      <c r="DO16" s="46">
        <f t="shared" si="23"/>
        <v>-191046.84619632494</v>
      </c>
      <c r="DP16" s="46">
        <f t="shared" si="23"/>
        <v>-190839.04530950991</v>
      </c>
      <c r="DQ16" s="46">
        <f t="shared" si="23"/>
        <v>-190635.48525711967</v>
      </c>
      <c r="DR16" s="46">
        <f t="shared" si="23"/>
        <v>-190436.07949151291</v>
      </c>
      <c r="DS16" s="46">
        <f t="shared" si="23"/>
        <v>-190240.74323132669</v>
      </c>
      <c r="DT16" s="46">
        <f t="shared" si="23"/>
        <v>-190049.39342542997</v>
      </c>
      <c r="DU16" s="46">
        <f t="shared" si="23"/>
        <v>-187590.55306194464</v>
      </c>
      <c r="DV16" s="46">
        <f t="shared" si="23"/>
        <v>-182638.98952285532</v>
      </c>
      <c r="DW16" s="46">
        <f t="shared" si="23"/>
        <v>-177632.79032591975</v>
      </c>
      <c r="DX16" s="46">
        <f t="shared" si="23"/>
        <v>-172728.75845953388</v>
      </c>
      <c r="DY16" s="46">
        <f t="shared" si="23"/>
        <v>-168223.60528957332</v>
      </c>
      <c r="DZ16" s="46">
        <f t="shared" si="23"/>
        <v>-163517.69549359122</v>
      </c>
      <c r="EA16" s="46">
        <f t="shared" ref="EA16:GL16" si="24">DZ16+EA15</f>
        <v>-161488.35046605964</v>
      </c>
      <c r="EB16" s="46">
        <f t="shared" si="24"/>
        <v>-161326.09875524178</v>
      </c>
      <c r="EC16" s="46">
        <f t="shared" si="24"/>
        <v>-161167.15830382836</v>
      </c>
      <c r="ED16" s="46">
        <f t="shared" si="24"/>
        <v>-161011.46153509687</v>
      </c>
      <c r="EE16" s="46">
        <f t="shared" si="24"/>
        <v>-160858.94225144151</v>
      </c>
      <c r="EF16" s="46">
        <f t="shared" si="24"/>
        <v>-160709.53560622811</v>
      </c>
      <c r="EG16" s="46">
        <f t="shared" si="24"/>
        <v>-158789.66383995124</v>
      </c>
      <c r="EH16" s="46">
        <f t="shared" si="24"/>
        <v>-154923.46448077503</v>
      </c>
      <c r="EI16" s="46">
        <f t="shared" si="24"/>
        <v>-151014.60539529505</v>
      </c>
      <c r="EJ16" s="46">
        <f t="shared" si="24"/>
        <v>-147185.51894421261</v>
      </c>
      <c r="EK16" s="46">
        <f t="shared" si="24"/>
        <v>-143667.87847344211</v>
      </c>
      <c r="EL16" s="46">
        <f t="shared" si="24"/>
        <v>-139993.4864770681</v>
      </c>
      <c r="EM16" s="46">
        <f t="shared" si="24"/>
        <v>-138408.96627793257</v>
      </c>
      <c r="EN16" s="46">
        <f t="shared" si="24"/>
        <v>-138282.27953435408</v>
      </c>
      <c r="EO16" s="46">
        <f t="shared" si="24"/>
        <v>-138158.17823452209</v>
      </c>
      <c r="EP16" s="46">
        <f t="shared" si="24"/>
        <v>-138036.60961427851</v>
      </c>
      <c r="EQ16" s="46">
        <f t="shared" si="24"/>
        <v>-137917.52198628479</v>
      </c>
      <c r="ER16" s="46">
        <f t="shared" si="24"/>
        <v>-137800.86471804604</v>
      </c>
      <c r="ES16" s="46">
        <f t="shared" si="24"/>
        <v>-136301.82165136951</v>
      </c>
      <c r="ET16" s="46">
        <f t="shared" si="24"/>
        <v>-133283.07870948984</v>
      </c>
      <c r="EU16" s="46">
        <f t="shared" si="24"/>
        <v>-130231.02689351489</v>
      </c>
      <c r="EV16" s="46">
        <f t="shared" si="24"/>
        <v>-127241.26184929453</v>
      </c>
      <c r="EW16" s="46">
        <f t="shared" si="24"/>
        <v>-124494.67499313423</v>
      </c>
      <c r="EX16" s="46">
        <f t="shared" si="24"/>
        <v>-121625.69595861374</v>
      </c>
      <c r="EY16" s="46">
        <f t="shared" si="24"/>
        <v>-120388.49665174061</v>
      </c>
      <c r="EZ16" s="46">
        <f t="shared" si="24"/>
        <v>-120289.57916780394</v>
      </c>
      <c r="FA16" s="46">
        <f t="shared" si="24"/>
        <v>-120192.68040802923</v>
      </c>
      <c r="FB16" s="46">
        <f t="shared" si="24"/>
        <v>-120097.75917396422</v>
      </c>
      <c r="FC16" s="46">
        <f t="shared" si="24"/>
        <v>-120004.77510794134</v>
      </c>
      <c r="FD16" s="46">
        <f t="shared" si="24"/>
        <v>-119913.68867591894</v>
      </c>
      <c r="FE16" s="46">
        <f t="shared" si="24"/>
        <v>-118743.23023425502</v>
      </c>
      <c r="FF16" s="46">
        <f t="shared" si="24"/>
        <v>-116386.18443745215</v>
      </c>
      <c r="FG16" s="46">
        <f t="shared" si="24"/>
        <v>-114003.13094698534</v>
      </c>
      <c r="FH16" s="46">
        <f t="shared" si="24"/>
        <v>-111668.71120122194</v>
      </c>
      <c r="FI16" s="46">
        <f t="shared" si="24"/>
        <v>-109524.16589560687</v>
      </c>
      <c r="FJ16" s="46">
        <f t="shared" si="24"/>
        <v>-107284.0563186644</v>
      </c>
      <c r="FK16" s="46">
        <f t="shared" si="24"/>
        <v>-106318.0464654846</v>
      </c>
      <c r="FL16" s="46">
        <f t="shared" si="24"/>
        <v>-106240.81132349596</v>
      </c>
      <c r="FM16" s="46">
        <f t="shared" si="24"/>
        <v>-106165.15240889485</v>
      </c>
      <c r="FN16" s="46">
        <f t="shared" si="24"/>
        <v>-106091.0375537754</v>
      </c>
      <c r="FO16" s="46">
        <f t="shared" si="24"/>
        <v>-106018.4352467196</v>
      </c>
      <c r="FP16" s="46">
        <f t="shared" si="24"/>
        <v>-105947.31461939964</v>
      </c>
      <c r="FQ16" s="46">
        <f t="shared" si="24"/>
        <v>-105033.41628377701</v>
      </c>
      <c r="FR16" s="46">
        <f t="shared" si="24"/>
        <v>-103193.02609647381</v>
      </c>
      <c r="FS16" s="46">
        <f t="shared" si="24"/>
        <v>-101332.32900453669</v>
      </c>
      <c r="FT16" s="46">
        <f t="shared" si="24"/>
        <v>-99509.605322639094</v>
      </c>
      <c r="FU16" s="46">
        <f t="shared" si="24"/>
        <v>-97835.136314852061</v>
      </c>
      <c r="FV16" s="46">
        <f t="shared" si="24"/>
        <v>-96086.050366042371</v>
      </c>
      <c r="FW16" s="46">
        <f t="shared" si="24"/>
        <v>-95331.786254143575</v>
      </c>
      <c r="FX16" s="46">
        <f t="shared" si="24"/>
        <v>-95271.48076596696</v>
      </c>
      <c r="FY16" s="46">
        <f t="shared" si="24"/>
        <v>-95212.406002038842</v>
      </c>
      <c r="FZ16" s="46">
        <f t="shared" si="24"/>
        <v>-95154.536845537834</v>
      </c>
      <c r="GA16" s="46">
        <f t="shared" si="24"/>
        <v>-95097.84869223072</v>
      </c>
      <c r="GB16" s="46">
        <f t="shared" si="24"/>
        <v>-95042.317440011509</v>
      </c>
      <c r="GC16" s="46">
        <f t="shared" si="24"/>
        <v>-94328.742196223713</v>
      </c>
      <c r="GD16" s="46">
        <f t="shared" si="24"/>
        <v>-92891.758644136557</v>
      </c>
      <c r="GE16" s="46">
        <f t="shared" si="24"/>
        <v>-91438.919384844441</v>
      </c>
      <c r="GF16" s="46">
        <f t="shared" si="24"/>
        <v>-90015.729906354201</v>
      </c>
      <c r="GG16" s="46">
        <f t="shared" si="24"/>
        <v>-88708.298232750487</v>
      </c>
      <c r="GH16" s="46">
        <f t="shared" si="24"/>
        <v>-87342.605372091799</v>
      </c>
      <c r="GI16" s="46">
        <f t="shared" si="24"/>
        <v>-86753.673128154755</v>
      </c>
      <c r="GJ16" s="46">
        <f t="shared" si="24"/>
        <v>-86706.586377090644</v>
      </c>
      <c r="GK16" s="46">
        <f t="shared" si="24"/>
        <v>-86660.460580129875</v>
      </c>
      <c r="GL16" s="46">
        <f t="shared" si="24"/>
        <v>-86615.276125964228</v>
      </c>
      <c r="GM16" s="46">
        <f t="shared" ref="GM16:IG16" si="25">GL16+GM15</f>
        <v>-86571.013803516238</v>
      </c>
      <c r="GN16" s="46">
        <f t="shared" si="25"/>
        <v>-86527.654793771275</v>
      </c>
      <c r="GO16" s="46">
        <f t="shared" si="25"/>
        <v>-85970.492570470029</v>
      </c>
      <c r="GP16" s="46">
        <f t="shared" si="25"/>
        <v>-84848.490430263642</v>
      </c>
      <c r="GQ16" s="46">
        <f t="shared" si="25"/>
        <v>-83714.10809447839</v>
      </c>
      <c r="GR16" s="46">
        <f t="shared" si="25"/>
        <v>-82602.87641860712</v>
      </c>
      <c r="GS16" s="46">
        <f t="shared" si="25"/>
        <v>-81582.028870403577</v>
      </c>
      <c r="GT16" s="46">
        <f t="shared" si="25"/>
        <v>-80515.690769109366</v>
      </c>
      <c r="GU16" s="46">
        <f t="shared" si="25"/>
        <v>-80055.850266986599</v>
      </c>
      <c r="GV16" s="46">
        <f t="shared" si="25"/>
        <v>-80019.084755375443</v>
      </c>
      <c r="GW16" s="46">
        <f t="shared" si="25"/>
        <v>-79983.069560327771</v>
      </c>
      <c r="GX16" s="46">
        <f t="shared" si="25"/>
        <v>-79947.789369260674</v>
      </c>
      <c r="GY16" s="46">
        <f t="shared" si="25"/>
        <v>-79913.229182092895</v>
      </c>
      <c r="GZ16" s="46">
        <f t="shared" si="25"/>
        <v>-79879.37430486732</v>
      </c>
      <c r="HA16" s="46">
        <f t="shared" si="25"/>
        <v>-79444.339953862975</v>
      </c>
      <c r="HB16" s="46">
        <f t="shared" si="25"/>
        <v>-78568.276479928827</v>
      </c>
      <c r="HC16" s="46">
        <f t="shared" si="25"/>
        <v>-77682.546502912242</v>
      </c>
      <c r="HD16" s="46">
        <f t="shared" si="25"/>
        <v>-76814.892647875589</v>
      </c>
      <c r="HE16" s="46">
        <f t="shared" si="25"/>
        <v>-76017.811058288033</v>
      </c>
      <c r="HF16" s="46">
        <f t="shared" si="25"/>
        <v>-75185.210274446115</v>
      </c>
      <c r="HG16" s="46">
        <f t="shared" si="25"/>
        <v>-74826.165087891306</v>
      </c>
      <c r="HH16" s="46">
        <f t="shared" si="25"/>
        <v>-74797.458438706919</v>
      </c>
      <c r="HI16" s="46">
        <f t="shared" si="25"/>
        <v>-74769.337639505888</v>
      </c>
      <c r="HJ16" s="46">
        <f t="shared" si="25"/>
        <v>-74741.790734166105</v>
      </c>
      <c r="HK16" s="46">
        <f t="shared" si="25"/>
        <v>-74714.806010567947</v>
      </c>
      <c r="HL16" s="46">
        <f t="shared" si="25"/>
        <v>-74688.371995614652</v>
      </c>
      <c r="HM16" s="46">
        <f t="shared" si="25"/>
        <v>-74348.695544773436</v>
      </c>
      <c r="HN16" s="46">
        <f t="shared" si="25"/>
        <v>-73664.661902716034</v>
      </c>
      <c r="HO16" s="46">
        <f t="shared" si="25"/>
        <v>-72973.080618842519</v>
      </c>
      <c r="HP16" s="46">
        <f t="shared" si="25"/>
        <v>-72295.613238721518</v>
      </c>
      <c r="HQ16" s="46">
        <f t="shared" si="25"/>
        <v>-71673.248947816872</v>
      </c>
      <c r="HR16" s="46">
        <f t="shared" si="25"/>
        <v>-71023.151136988556</v>
      </c>
      <c r="HS16" s="46">
        <f t="shared" si="25"/>
        <v>-70742.807310394172</v>
      </c>
      <c r="HT16" s="46">
        <f t="shared" si="25"/>
        <v>-70720.393051179955</v>
      </c>
      <c r="HU16" s="46">
        <f t="shared" si="25"/>
        <v>-70698.436225827259</v>
      </c>
      <c r="HV16" s="46">
        <f t="shared" si="25"/>
        <v>-70676.927498951147</v>
      </c>
      <c r="HW16" s="46">
        <f t="shared" si="25"/>
        <v>-70655.857725684749</v>
      </c>
      <c r="HX16" s="46">
        <f t="shared" si="25"/>
        <v>-70635.217947791141</v>
      </c>
      <c r="HY16" s="46">
        <f t="shared" si="25"/>
        <v>-70369.997302594478</v>
      </c>
      <c r="HZ16" s="46">
        <f t="shared" si="25"/>
        <v>-69835.901272582982</v>
      </c>
      <c r="IA16" s="46">
        <f t="shared" si="25"/>
        <v>-69295.912015569062</v>
      </c>
      <c r="IB16" s="46">
        <f t="shared" si="25"/>
        <v>-68766.942947473784</v>
      </c>
      <c r="IC16" s="46">
        <f t="shared" si="25"/>
        <v>-68280.998577847015</v>
      </c>
      <c r="ID16" s="46">
        <f t="shared" si="25"/>
        <v>-67773.399771978002</v>
      </c>
      <c r="IE16" s="46">
        <f t="shared" si="25"/>
        <v>-67554.506262044873</v>
      </c>
      <c r="IF16" s="46">
        <f t="shared" si="25"/>
        <v>-67537.005124489777</v>
      </c>
      <c r="IG16" s="46">
        <f t="shared" si="25"/>
        <v>-67519.861153007238</v>
      </c>
    </row>
    <row r="17" spans="1:241" x14ac:dyDescent="0.25">
      <c r="A17" s="58" t="s">
        <v>308</v>
      </c>
      <c r="B17" s="64">
        <f>NPV('Вхідні дані'!B13/12,B13:IG13)</f>
        <v>-67519.861153008678</v>
      </c>
      <c r="C17" s="56"/>
    </row>
    <row r="18" spans="1:241" x14ac:dyDescent="0.25">
      <c r="A18" s="58" t="s">
        <v>307</v>
      </c>
      <c r="B18" s="63">
        <f>IRR(B13:IG13,0)*12</f>
        <v>0.22988581117613549</v>
      </c>
      <c r="C18" s="56"/>
      <c r="L18" s="47"/>
    </row>
    <row r="19" spans="1:241" x14ac:dyDescent="0.25">
      <c r="A19" s="58" t="s">
        <v>306</v>
      </c>
      <c r="B19" s="62">
        <f>(COUNTIF(B14:IG14,"&lt;0")+ABS(INDEX(B14:IG14,,COUNTIF(B14:IG14,"&lt;0")))/INDEX(B13:IG13,,COUNTIF(B14:IG14,"&lt;0")+1))/12</f>
        <v>7.3621638696455625</v>
      </c>
      <c r="C19" s="61">
        <f>(B19*12)</f>
        <v>88.345966435746746</v>
      </c>
      <c r="K19" s="47"/>
      <c r="L19" s="47"/>
    </row>
    <row r="20" spans="1:241" x14ac:dyDescent="0.25">
      <c r="A20" s="58" t="s">
        <v>305</v>
      </c>
      <c r="B20" s="62" t="str">
        <f>IFERROR((COUNTIF(B16:IG16,"&lt;0")+ABS(INDEX(B16:IG16,,COUNTIF(B16:IG16,"&lt;0")))/INDEX(B15:IG15,,COUNTIF(B16:IG16,"&lt;0")+1))/12,"більше 20")</f>
        <v>більше 20</v>
      </c>
      <c r="C20" s="61" t="str">
        <f>IFERROR((COUNTIF(B16:IG16,"&lt;0")+ABS(INDEX(B16:IG16,,COUNTIF(B16:IG16,"&lt;0")))/INDEX(B15:IG15,,COUNTIF(B16:IG16,"&lt;0")+1)),"більше 240")</f>
        <v>більше 240</v>
      </c>
      <c r="L20" s="47"/>
    </row>
    <row r="21" spans="1:241" ht="32.25" customHeight="1" x14ac:dyDescent="0.25">
      <c r="A21" s="60" t="s">
        <v>605</v>
      </c>
    </row>
    <row r="22" spans="1:241" ht="30" outlineLevel="1" x14ac:dyDescent="0.25">
      <c r="A22" s="57" t="s">
        <v>321</v>
      </c>
      <c r="E22" s="46">
        <f>'Вхідні дані'!B31</f>
        <v>-33659.964795585896</v>
      </c>
      <c r="F22" s="46">
        <f t="shared" ref="F22:AK22" si="26">E22</f>
        <v>-33659.964795585896</v>
      </c>
      <c r="G22" s="46">
        <f t="shared" si="26"/>
        <v>-33659.964795585896</v>
      </c>
      <c r="H22" s="46">
        <f t="shared" si="26"/>
        <v>-33659.964795585896</v>
      </c>
      <c r="I22" s="46">
        <f t="shared" si="26"/>
        <v>-33659.964795585896</v>
      </c>
      <c r="J22" s="46">
        <f t="shared" si="26"/>
        <v>-33659.964795585896</v>
      </c>
      <c r="K22" s="46">
        <f t="shared" si="26"/>
        <v>-33659.964795585896</v>
      </c>
      <c r="L22" s="46">
        <f t="shared" si="26"/>
        <v>-33659.964795585896</v>
      </c>
      <c r="M22" s="46">
        <f t="shared" si="26"/>
        <v>-33659.964795585896</v>
      </c>
      <c r="N22" s="46">
        <f t="shared" si="26"/>
        <v>-33659.964795585896</v>
      </c>
      <c r="O22" s="46">
        <f t="shared" si="26"/>
        <v>-33659.964795585896</v>
      </c>
      <c r="P22" s="46">
        <f t="shared" si="26"/>
        <v>-33659.964795585896</v>
      </c>
      <c r="Q22" s="46">
        <f t="shared" si="26"/>
        <v>-33659.964795585896</v>
      </c>
      <c r="R22" s="46">
        <f t="shared" si="26"/>
        <v>-33659.964795585896</v>
      </c>
      <c r="S22" s="46">
        <f t="shared" si="26"/>
        <v>-33659.964795585896</v>
      </c>
      <c r="T22" s="46">
        <f t="shared" si="26"/>
        <v>-33659.964795585896</v>
      </c>
      <c r="U22" s="46">
        <f t="shared" si="26"/>
        <v>-33659.964795585896</v>
      </c>
      <c r="V22" s="46">
        <f t="shared" si="26"/>
        <v>-33659.964795585896</v>
      </c>
      <c r="W22" s="46">
        <f t="shared" si="26"/>
        <v>-33659.964795585896</v>
      </c>
      <c r="X22" s="46">
        <f t="shared" si="26"/>
        <v>-33659.964795585896</v>
      </c>
      <c r="Y22" s="46">
        <f t="shared" si="26"/>
        <v>-33659.964795585896</v>
      </c>
      <c r="Z22" s="46">
        <f t="shared" si="26"/>
        <v>-33659.964795585896</v>
      </c>
      <c r="AA22" s="46">
        <f t="shared" si="26"/>
        <v>-33659.964795585896</v>
      </c>
      <c r="AB22" s="46">
        <f t="shared" si="26"/>
        <v>-33659.964795585896</v>
      </c>
      <c r="AC22" s="46">
        <f t="shared" si="26"/>
        <v>-33659.964795585896</v>
      </c>
      <c r="AD22" s="46">
        <f t="shared" si="26"/>
        <v>-33659.964795585896</v>
      </c>
      <c r="AE22" s="46">
        <f t="shared" si="26"/>
        <v>-33659.964795585896</v>
      </c>
      <c r="AF22" s="46">
        <f t="shared" si="26"/>
        <v>-33659.964795585896</v>
      </c>
      <c r="AG22" s="46">
        <f t="shared" si="26"/>
        <v>-33659.964795585896</v>
      </c>
      <c r="AH22" s="46">
        <f t="shared" si="26"/>
        <v>-33659.964795585896</v>
      </c>
      <c r="AI22" s="46">
        <f t="shared" si="26"/>
        <v>-33659.964795585896</v>
      </c>
      <c r="AJ22" s="46">
        <f t="shared" si="26"/>
        <v>-33659.964795585896</v>
      </c>
      <c r="AK22" s="46">
        <f t="shared" si="26"/>
        <v>-33659.964795585896</v>
      </c>
      <c r="AL22" s="46">
        <f t="shared" ref="AL22:BL22" si="27">AK22</f>
        <v>-33659.964795585896</v>
      </c>
      <c r="AM22" s="46">
        <f t="shared" si="27"/>
        <v>-33659.964795585896</v>
      </c>
      <c r="AN22" s="46">
        <f t="shared" si="27"/>
        <v>-33659.964795585896</v>
      </c>
      <c r="AO22" s="46">
        <f t="shared" si="27"/>
        <v>-33659.964795585896</v>
      </c>
      <c r="AP22" s="46">
        <f t="shared" si="27"/>
        <v>-33659.964795585896</v>
      </c>
      <c r="AQ22" s="46">
        <f t="shared" si="27"/>
        <v>-33659.964795585896</v>
      </c>
      <c r="AR22" s="46">
        <f t="shared" si="27"/>
        <v>-33659.964795585896</v>
      </c>
      <c r="AS22" s="46">
        <f t="shared" si="27"/>
        <v>-33659.964795585896</v>
      </c>
      <c r="AT22" s="46">
        <f t="shared" si="27"/>
        <v>-33659.964795585896</v>
      </c>
      <c r="AU22" s="46">
        <f t="shared" si="27"/>
        <v>-33659.964795585896</v>
      </c>
      <c r="AV22" s="46">
        <f t="shared" si="27"/>
        <v>-33659.964795585896</v>
      </c>
      <c r="AW22" s="46">
        <f t="shared" si="27"/>
        <v>-33659.964795585896</v>
      </c>
      <c r="AX22" s="46">
        <f t="shared" si="27"/>
        <v>-33659.964795585896</v>
      </c>
      <c r="AY22" s="46">
        <f t="shared" si="27"/>
        <v>-33659.964795585896</v>
      </c>
      <c r="AZ22" s="46">
        <f t="shared" si="27"/>
        <v>-33659.964795585896</v>
      </c>
      <c r="BA22" s="46">
        <f t="shared" si="27"/>
        <v>-33659.964795585896</v>
      </c>
      <c r="BB22" s="46">
        <f t="shared" si="27"/>
        <v>-33659.964795585896</v>
      </c>
      <c r="BC22" s="46">
        <f t="shared" si="27"/>
        <v>-33659.964795585896</v>
      </c>
      <c r="BD22" s="46">
        <f t="shared" si="27"/>
        <v>-33659.964795585896</v>
      </c>
      <c r="BE22" s="46">
        <f t="shared" si="27"/>
        <v>-33659.964795585896</v>
      </c>
      <c r="BF22" s="46">
        <f t="shared" si="27"/>
        <v>-33659.964795585896</v>
      </c>
      <c r="BG22" s="46">
        <f t="shared" si="27"/>
        <v>-33659.964795585896</v>
      </c>
      <c r="BH22" s="46">
        <f t="shared" si="27"/>
        <v>-33659.964795585896</v>
      </c>
      <c r="BI22" s="46">
        <f t="shared" si="27"/>
        <v>-33659.964795585896</v>
      </c>
      <c r="BJ22" s="46">
        <f t="shared" si="27"/>
        <v>-33659.964795585896</v>
      </c>
      <c r="BK22" s="46">
        <f t="shared" si="27"/>
        <v>-33659.964795585896</v>
      </c>
      <c r="BL22" s="46">
        <f t="shared" si="27"/>
        <v>-33659.964795585896</v>
      </c>
    </row>
    <row r="23" spans="1:241" ht="30" outlineLevel="1" x14ac:dyDescent="0.25">
      <c r="A23" s="57" t="s">
        <v>320</v>
      </c>
      <c r="E23" s="46">
        <f t="shared" ref="E23:AJ23" si="28">-E6+E22</f>
        <v>7868.7201551483231</v>
      </c>
      <c r="F23" s="46">
        <f t="shared" si="28"/>
        <v>7868.7201551483231</v>
      </c>
      <c r="G23" s="46">
        <f t="shared" si="28"/>
        <v>7868.7201551483231</v>
      </c>
      <c r="H23" s="46">
        <f t="shared" si="28"/>
        <v>7868.7201551483231</v>
      </c>
      <c r="I23" s="46">
        <f t="shared" si="28"/>
        <v>7868.7201551483231</v>
      </c>
      <c r="J23" s="46">
        <f t="shared" si="28"/>
        <v>7868.7201551483231</v>
      </c>
      <c r="K23" s="46">
        <f t="shared" si="28"/>
        <v>7868.7201551483231</v>
      </c>
      <c r="L23" s="46">
        <f t="shared" si="28"/>
        <v>7868.7201551483231</v>
      </c>
      <c r="M23" s="46">
        <f t="shared" si="28"/>
        <v>7868.7201551483231</v>
      </c>
      <c r="N23" s="46">
        <f t="shared" si="28"/>
        <v>7868.7201551483231</v>
      </c>
      <c r="O23" s="46">
        <f t="shared" si="28"/>
        <v>7868.7201551483231</v>
      </c>
      <c r="P23" s="46">
        <f t="shared" si="28"/>
        <v>7868.7201551483231</v>
      </c>
      <c r="Q23" s="46">
        <f t="shared" si="28"/>
        <v>7868.7201551483231</v>
      </c>
      <c r="R23" s="46">
        <f t="shared" si="28"/>
        <v>7868.7201551483231</v>
      </c>
      <c r="S23" s="46">
        <f t="shared" si="28"/>
        <v>7868.7201551483231</v>
      </c>
      <c r="T23" s="46">
        <f t="shared" si="28"/>
        <v>7868.7201551483231</v>
      </c>
      <c r="U23" s="46">
        <f t="shared" si="28"/>
        <v>7868.7201551483231</v>
      </c>
      <c r="V23" s="46">
        <f t="shared" si="28"/>
        <v>7868.7201551483231</v>
      </c>
      <c r="W23" s="46">
        <f t="shared" si="28"/>
        <v>7868.7201551483231</v>
      </c>
      <c r="X23" s="46">
        <f t="shared" si="28"/>
        <v>7868.7201551483231</v>
      </c>
      <c r="Y23" s="46">
        <f t="shared" si="28"/>
        <v>7868.7201551483231</v>
      </c>
      <c r="Z23" s="46">
        <f t="shared" si="28"/>
        <v>7868.7201551483231</v>
      </c>
      <c r="AA23" s="46">
        <f t="shared" si="28"/>
        <v>7868.7201551483231</v>
      </c>
      <c r="AB23" s="46">
        <f t="shared" si="28"/>
        <v>7868.7201551483231</v>
      </c>
      <c r="AC23" s="46">
        <f t="shared" si="28"/>
        <v>7868.7201551483231</v>
      </c>
      <c r="AD23" s="46">
        <f t="shared" si="28"/>
        <v>7868.7201551483231</v>
      </c>
      <c r="AE23" s="46">
        <f t="shared" si="28"/>
        <v>7868.7201551483231</v>
      </c>
      <c r="AF23" s="46">
        <f t="shared" si="28"/>
        <v>7868.7201551483231</v>
      </c>
      <c r="AG23" s="46">
        <f t="shared" si="28"/>
        <v>7868.7201551483231</v>
      </c>
      <c r="AH23" s="46">
        <f t="shared" si="28"/>
        <v>7868.7201551483231</v>
      </c>
      <c r="AI23" s="46">
        <f t="shared" si="28"/>
        <v>7868.7201551483231</v>
      </c>
      <c r="AJ23" s="46">
        <f t="shared" si="28"/>
        <v>7868.7201551483231</v>
      </c>
      <c r="AK23" s="46">
        <f t="shared" ref="AK23:BL23" si="29">-AK6+AK22</f>
        <v>7868.7201551483231</v>
      </c>
      <c r="AL23" s="46">
        <f t="shared" si="29"/>
        <v>7868.7201551483231</v>
      </c>
      <c r="AM23" s="46">
        <f t="shared" si="29"/>
        <v>7868.7201551483231</v>
      </c>
      <c r="AN23" s="46">
        <f t="shared" si="29"/>
        <v>7868.7201551483231</v>
      </c>
      <c r="AO23" s="46">
        <f t="shared" si="29"/>
        <v>7868.7201551483231</v>
      </c>
      <c r="AP23" s="46">
        <f t="shared" si="29"/>
        <v>7868.7201551483231</v>
      </c>
      <c r="AQ23" s="46">
        <f t="shared" si="29"/>
        <v>7868.7201551483231</v>
      </c>
      <c r="AR23" s="46">
        <f t="shared" si="29"/>
        <v>7868.7201551483231</v>
      </c>
      <c r="AS23" s="46">
        <f t="shared" si="29"/>
        <v>7868.7201551483231</v>
      </c>
      <c r="AT23" s="46">
        <f t="shared" si="29"/>
        <v>7868.7201551483231</v>
      </c>
      <c r="AU23" s="46">
        <f t="shared" si="29"/>
        <v>7868.7201551483231</v>
      </c>
      <c r="AV23" s="46">
        <f t="shared" si="29"/>
        <v>7868.7201551483231</v>
      </c>
      <c r="AW23" s="46">
        <f t="shared" si="29"/>
        <v>7868.7201551483231</v>
      </c>
      <c r="AX23" s="46">
        <f t="shared" si="29"/>
        <v>7868.7201551483231</v>
      </c>
      <c r="AY23" s="46">
        <f t="shared" si="29"/>
        <v>7868.7201551483231</v>
      </c>
      <c r="AZ23" s="46">
        <f t="shared" si="29"/>
        <v>7868.7201551483231</v>
      </c>
      <c r="BA23" s="46">
        <f t="shared" si="29"/>
        <v>7868.7201551483231</v>
      </c>
      <c r="BB23" s="46">
        <f t="shared" si="29"/>
        <v>7868.7201551483231</v>
      </c>
      <c r="BC23" s="46">
        <f t="shared" si="29"/>
        <v>7868.7201551483231</v>
      </c>
      <c r="BD23" s="46">
        <f t="shared" si="29"/>
        <v>7868.7201551483231</v>
      </c>
      <c r="BE23" s="46">
        <f t="shared" si="29"/>
        <v>7868.7201551483231</v>
      </c>
      <c r="BF23" s="46">
        <f t="shared" si="29"/>
        <v>7868.7201551483231</v>
      </c>
      <c r="BG23" s="46">
        <f t="shared" si="29"/>
        <v>7868.7201551483231</v>
      </c>
      <c r="BH23" s="46">
        <f t="shared" si="29"/>
        <v>7868.7201551483231</v>
      </c>
      <c r="BI23" s="46">
        <f t="shared" si="29"/>
        <v>7868.7201551483231</v>
      </c>
      <c r="BJ23" s="46">
        <f t="shared" si="29"/>
        <v>7868.7201551483231</v>
      </c>
      <c r="BK23" s="46">
        <f t="shared" si="29"/>
        <v>7868.7201551483231</v>
      </c>
      <c r="BL23" s="46">
        <f t="shared" si="29"/>
        <v>7868.7201551483231</v>
      </c>
    </row>
    <row r="24" spans="1:241" ht="60" outlineLevel="1" x14ac:dyDescent="0.25">
      <c r="A24" s="57" t="s">
        <v>319</v>
      </c>
      <c r="B24" s="46">
        <f t="shared" ref="B24:BM24" si="30">B5+B22+B9</f>
        <v>-42446.486399999994</v>
      </c>
      <c r="C24" s="46">
        <f t="shared" si="30"/>
        <v>0</v>
      </c>
      <c r="D24" s="46">
        <f t="shared" si="30"/>
        <v>0</v>
      </c>
      <c r="E24" s="46">
        <f t="shared" si="30"/>
        <v>-61321.080675414218</v>
      </c>
      <c r="F24" s="46">
        <f t="shared" si="30"/>
        <v>-92933.784538075153</v>
      </c>
      <c r="G24" s="46">
        <f t="shared" si="30"/>
        <v>-94909.578529491468</v>
      </c>
      <c r="H24" s="46">
        <f t="shared" si="30"/>
        <v>-94909.578529491468</v>
      </c>
      <c r="I24" s="46">
        <f t="shared" si="30"/>
        <v>-90957.990546658839</v>
      </c>
      <c r="J24" s="46">
        <f t="shared" si="30"/>
        <v>-94909.578529491468</v>
      </c>
      <c r="K24" s="46">
        <f t="shared" si="30"/>
        <v>-59345.286683997911</v>
      </c>
      <c r="L24" s="46">
        <f t="shared" si="30"/>
        <v>-33659.964795585896</v>
      </c>
      <c r="M24" s="46">
        <f t="shared" si="30"/>
        <v>-33659.964795585896</v>
      </c>
      <c r="N24" s="46">
        <f t="shared" si="30"/>
        <v>-33659.964795585896</v>
      </c>
      <c r="O24" s="46">
        <f t="shared" si="30"/>
        <v>-33659.964795585896</v>
      </c>
      <c r="P24" s="46">
        <f t="shared" si="30"/>
        <v>-33659.964795585896</v>
      </c>
      <c r="Q24" s="46">
        <f t="shared" si="30"/>
        <v>-75151.638615328382</v>
      </c>
      <c r="R24" s="46">
        <f t="shared" si="30"/>
        <v>-122570.69440931978</v>
      </c>
      <c r="S24" s="46">
        <f t="shared" si="30"/>
        <v>-125534.38539644424</v>
      </c>
      <c r="T24" s="46">
        <f t="shared" si="30"/>
        <v>-125534.38539644424</v>
      </c>
      <c r="U24" s="46">
        <f t="shared" si="30"/>
        <v>-116643.31243507085</v>
      </c>
      <c r="V24" s="46">
        <f t="shared" si="30"/>
        <v>-125534.38539644424</v>
      </c>
      <c r="W24" s="46">
        <f t="shared" si="30"/>
        <v>-75151.638615328382</v>
      </c>
      <c r="X24" s="46">
        <f t="shared" si="30"/>
        <v>-33659.964795585896</v>
      </c>
      <c r="Y24" s="46">
        <f t="shared" si="30"/>
        <v>-33659.964795585896</v>
      </c>
      <c r="Z24" s="46">
        <f t="shared" si="30"/>
        <v>-33659.964795585896</v>
      </c>
      <c r="AA24" s="46">
        <f t="shared" si="30"/>
        <v>-33659.964795585896</v>
      </c>
      <c r="AB24" s="46">
        <f t="shared" si="30"/>
        <v>-33659.964795585896</v>
      </c>
      <c r="AC24" s="46">
        <f t="shared" si="30"/>
        <v>-95897.47552519961</v>
      </c>
      <c r="AD24" s="46">
        <f t="shared" si="30"/>
        <v>-167026.05921618672</v>
      </c>
      <c r="AE24" s="46">
        <f t="shared" si="30"/>
        <v>-171471.59569687341</v>
      </c>
      <c r="AF24" s="46">
        <f t="shared" si="30"/>
        <v>-171471.59569687341</v>
      </c>
      <c r="AG24" s="46">
        <f t="shared" si="30"/>
        <v>-158134.98625481332</v>
      </c>
      <c r="AH24" s="46">
        <f t="shared" si="30"/>
        <v>-171471.59569687341</v>
      </c>
      <c r="AI24" s="46">
        <f t="shared" si="30"/>
        <v>-95897.47552519961</v>
      </c>
      <c r="AJ24" s="46">
        <f t="shared" si="30"/>
        <v>-33659.964795585896</v>
      </c>
      <c r="AK24" s="46">
        <f t="shared" si="30"/>
        <v>-33659.964795585896</v>
      </c>
      <c r="AL24" s="46">
        <f t="shared" si="30"/>
        <v>-33659.964795585896</v>
      </c>
      <c r="AM24" s="46">
        <f t="shared" si="30"/>
        <v>-33659.964795585896</v>
      </c>
      <c r="AN24" s="46">
        <f t="shared" si="30"/>
        <v>-33659.964795585896</v>
      </c>
      <c r="AO24" s="46">
        <f t="shared" si="30"/>
        <v>-95897.47552519961</v>
      </c>
      <c r="AP24" s="46">
        <f t="shared" si="30"/>
        <v>-167026.05921618672</v>
      </c>
      <c r="AQ24" s="46">
        <f t="shared" si="30"/>
        <v>-171471.59569687341</v>
      </c>
      <c r="AR24" s="46">
        <f t="shared" si="30"/>
        <v>-171471.59569687341</v>
      </c>
      <c r="AS24" s="46">
        <f t="shared" si="30"/>
        <v>-158134.98625481332</v>
      </c>
      <c r="AT24" s="46">
        <f t="shared" si="30"/>
        <v>-171471.59569687341</v>
      </c>
      <c r="AU24" s="46">
        <f t="shared" si="30"/>
        <v>-95897.47552519961</v>
      </c>
      <c r="AV24" s="46">
        <f t="shared" si="30"/>
        <v>-33659.964795585896</v>
      </c>
      <c r="AW24" s="46">
        <f t="shared" si="30"/>
        <v>-33659.964795585896</v>
      </c>
      <c r="AX24" s="46">
        <f t="shared" si="30"/>
        <v>-33659.964795585896</v>
      </c>
      <c r="AY24" s="46">
        <f t="shared" si="30"/>
        <v>-33659.964795585896</v>
      </c>
      <c r="AZ24" s="46">
        <f t="shared" si="30"/>
        <v>-33659.964795585896</v>
      </c>
      <c r="BA24" s="46">
        <f t="shared" si="30"/>
        <v>-95897.47552519961</v>
      </c>
      <c r="BB24" s="46">
        <f t="shared" si="30"/>
        <v>-167026.05921618672</v>
      </c>
      <c r="BC24" s="46">
        <f t="shared" si="30"/>
        <v>-171471.59569687341</v>
      </c>
      <c r="BD24" s="46">
        <f t="shared" si="30"/>
        <v>-171471.59569687341</v>
      </c>
      <c r="BE24" s="46">
        <f t="shared" si="30"/>
        <v>-162580.52273550001</v>
      </c>
      <c r="BF24" s="46">
        <f t="shared" si="30"/>
        <v>-171471.59569687341</v>
      </c>
      <c r="BG24" s="46">
        <f t="shared" si="30"/>
        <v>-91451.939044512925</v>
      </c>
      <c r="BH24" s="46">
        <f t="shared" si="30"/>
        <v>-33659.964795585896</v>
      </c>
      <c r="BI24" s="46">
        <f t="shared" si="30"/>
        <v>-33659.964795585896</v>
      </c>
      <c r="BJ24" s="46">
        <f t="shared" si="30"/>
        <v>-33659.964795585896</v>
      </c>
      <c r="BK24" s="46">
        <f t="shared" si="30"/>
        <v>-33659.964795585896</v>
      </c>
      <c r="BL24" s="46">
        <f t="shared" si="30"/>
        <v>-33659.964795585896</v>
      </c>
      <c r="BM24" s="46">
        <f t="shared" si="30"/>
        <v>-62237.510729613714</v>
      </c>
      <c r="BN24" s="46">
        <f t="shared" ref="BN24:DY24" si="31">BN5+BN22+BN9</f>
        <v>-133366.09442060083</v>
      </c>
      <c r="BO24" s="46">
        <f t="shared" si="31"/>
        <v>-137811.63090128751</v>
      </c>
      <c r="BP24" s="46">
        <f t="shared" si="31"/>
        <v>-137811.63090128751</v>
      </c>
      <c r="BQ24" s="46">
        <f t="shared" si="31"/>
        <v>-128920.55793991413</v>
      </c>
      <c r="BR24" s="46">
        <f t="shared" si="31"/>
        <v>-137811.63090128751</v>
      </c>
      <c r="BS24" s="46">
        <f t="shared" si="31"/>
        <v>-57791.974248927028</v>
      </c>
      <c r="BT24" s="46">
        <f t="shared" si="31"/>
        <v>0</v>
      </c>
      <c r="BU24" s="46">
        <f t="shared" si="31"/>
        <v>0</v>
      </c>
      <c r="BV24" s="46">
        <f t="shared" si="31"/>
        <v>0</v>
      </c>
      <c r="BW24" s="46">
        <f t="shared" si="31"/>
        <v>0</v>
      </c>
      <c r="BX24" s="46">
        <f t="shared" si="31"/>
        <v>0</v>
      </c>
      <c r="BY24" s="46">
        <f t="shared" si="31"/>
        <v>-62237.510729613714</v>
      </c>
      <c r="BZ24" s="46">
        <f t="shared" si="31"/>
        <v>-133366.09442060083</v>
      </c>
      <c r="CA24" s="46">
        <f t="shared" si="31"/>
        <v>-137811.63090128751</v>
      </c>
      <c r="CB24" s="46">
        <f t="shared" si="31"/>
        <v>-137811.63090128751</v>
      </c>
      <c r="CC24" s="46">
        <f t="shared" si="31"/>
        <v>-128920.55793991413</v>
      </c>
      <c r="CD24" s="46">
        <f t="shared" si="31"/>
        <v>-137811.63090128751</v>
      </c>
      <c r="CE24" s="46">
        <f t="shared" si="31"/>
        <v>-57791.974248927028</v>
      </c>
      <c r="CF24" s="46">
        <f t="shared" si="31"/>
        <v>0</v>
      </c>
      <c r="CG24" s="46">
        <f t="shared" si="31"/>
        <v>0</v>
      </c>
      <c r="CH24" s="46">
        <f t="shared" si="31"/>
        <v>0</v>
      </c>
      <c r="CI24" s="46">
        <f t="shared" si="31"/>
        <v>0</v>
      </c>
      <c r="CJ24" s="46">
        <f t="shared" si="31"/>
        <v>0</v>
      </c>
      <c r="CK24" s="46">
        <f t="shared" si="31"/>
        <v>-62237.510729613714</v>
      </c>
      <c r="CL24" s="46">
        <f t="shared" si="31"/>
        <v>-133366.09442060083</v>
      </c>
      <c r="CM24" s="46">
        <f t="shared" si="31"/>
        <v>-137811.63090128751</v>
      </c>
      <c r="CN24" s="46">
        <f t="shared" si="31"/>
        <v>-137811.63090128751</v>
      </c>
      <c r="CO24" s="46">
        <f t="shared" si="31"/>
        <v>-128920.55793991413</v>
      </c>
      <c r="CP24" s="46">
        <f t="shared" si="31"/>
        <v>-137811.63090128751</v>
      </c>
      <c r="CQ24" s="46">
        <f t="shared" si="31"/>
        <v>-57791.974248927028</v>
      </c>
      <c r="CR24" s="46">
        <f t="shared" si="31"/>
        <v>0</v>
      </c>
      <c r="CS24" s="46">
        <f t="shared" si="31"/>
        <v>0</v>
      </c>
      <c r="CT24" s="46">
        <f t="shared" si="31"/>
        <v>0</v>
      </c>
      <c r="CU24" s="46">
        <f t="shared" si="31"/>
        <v>0</v>
      </c>
      <c r="CV24" s="46">
        <f t="shared" si="31"/>
        <v>0</v>
      </c>
      <c r="CW24" s="46">
        <f t="shared" si="31"/>
        <v>-62237.510729613714</v>
      </c>
      <c r="CX24" s="46">
        <f t="shared" si="31"/>
        <v>-133366.09442060083</v>
      </c>
      <c r="CY24" s="46">
        <f t="shared" si="31"/>
        <v>-137811.63090128751</v>
      </c>
      <c r="CZ24" s="46">
        <f t="shared" si="31"/>
        <v>-137811.63090128751</v>
      </c>
      <c r="DA24" s="46">
        <f t="shared" si="31"/>
        <v>-128920.55793991413</v>
      </c>
      <c r="DB24" s="46">
        <f t="shared" si="31"/>
        <v>-137811.63090128751</v>
      </c>
      <c r="DC24" s="46">
        <f t="shared" si="31"/>
        <v>-57791.974248927028</v>
      </c>
      <c r="DD24" s="46">
        <f t="shared" si="31"/>
        <v>0</v>
      </c>
      <c r="DE24" s="46">
        <f t="shared" si="31"/>
        <v>0</v>
      </c>
      <c r="DF24" s="46">
        <f t="shared" si="31"/>
        <v>0</v>
      </c>
      <c r="DG24" s="46">
        <f t="shared" si="31"/>
        <v>0</v>
      </c>
      <c r="DH24" s="46">
        <f t="shared" si="31"/>
        <v>0</v>
      </c>
      <c r="DI24" s="46">
        <f t="shared" si="31"/>
        <v>-62237.510729613714</v>
      </c>
      <c r="DJ24" s="46">
        <f t="shared" si="31"/>
        <v>-133366.09442060083</v>
      </c>
      <c r="DK24" s="46">
        <f t="shared" si="31"/>
        <v>-137811.63090128751</v>
      </c>
      <c r="DL24" s="46">
        <f t="shared" si="31"/>
        <v>-137811.63090128751</v>
      </c>
      <c r="DM24" s="46">
        <f t="shared" si="31"/>
        <v>-128920.55793991413</v>
      </c>
      <c r="DN24" s="46">
        <f t="shared" si="31"/>
        <v>-137811.63090128751</v>
      </c>
      <c r="DO24" s="46">
        <f t="shared" si="31"/>
        <v>-57791.974248927028</v>
      </c>
      <c r="DP24" s="46">
        <f t="shared" si="31"/>
        <v>0</v>
      </c>
      <c r="DQ24" s="46">
        <f t="shared" si="31"/>
        <v>0</v>
      </c>
      <c r="DR24" s="46">
        <f t="shared" si="31"/>
        <v>0</v>
      </c>
      <c r="DS24" s="46">
        <f t="shared" si="31"/>
        <v>0</v>
      </c>
      <c r="DT24" s="46">
        <f t="shared" si="31"/>
        <v>0</v>
      </c>
      <c r="DU24" s="46">
        <f t="shared" si="31"/>
        <v>-62237.510729613714</v>
      </c>
      <c r="DV24" s="46">
        <f t="shared" si="31"/>
        <v>-133366.09442060083</v>
      </c>
      <c r="DW24" s="46">
        <f t="shared" si="31"/>
        <v>-137811.63090128751</v>
      </c>
      <c r="DX24" s="46">
        <f t="shared" si="31"/>
        <v>-137811.63090128751</v>
      </c>
      <c r="DY24" s="46">
        <f t="shared" si="31"/>
        <v>-128920.55793991413</v>
      </c>
      <c r="DZ24" s="46">
        <f t="shared" ref="DZ24:GK24" si="32">DZ5+DZ22+DZ9</f>
        <v>-137811.63090128751</v>
      </c>
      <c r="EA24" s="46">
        <f t="shared" si="32"/>
        <v>-57791.974248927028</v>
      </c>
      <c r="EB24" s="46">
        <f t="shared" si="32"/>
        <v>0</v>
      </c>
      <c r="EC24" s="46">
        <f t="shared" si="32"/>
        <v>0</v>
      </c>
      <c r="ED24" s="46">
        <f t="shared" si="32"/>
        <v>0</v>
      </c>
      <c r="EE24" s="46">
        <f t="shared" si="32"/>
        <v>0</v>
      </c>
      <c r="EF24" s="46">
        <f t="shared" si="32"/>
        <v>0</v>
      </c>
      <c r="EG24" s="46">
        <f t="shared" si="32"/>
        <v>-62237.510729613714</v>
      </c>
      <c r="EH24" s="46">
        <f t="shared" si="32"/>
        <v>-133366.09442060083</v>
      </c>
      <c r="EI24" s="46">
        <f t="shared" si="32"/>
        <v>-137811.63090128751</v>
      </c>
      <c r="EJ24" s="46">
        <f t="shared" si="32"/>
        <v>-137811.63090128751</v>
      </c>
      <c r="EK24" s="46">
        <f t="shared" si="32"/>
        <v>-128920.55793991413</v>
      </c>
      <c r="EL24" s="46">
        <f t="shared" si="32"/>
        <v>-137811.63090128751</v>
      </c>
      <c r="EM24" s="46">
        <f t="shared" si="32"/>
        <v>-57791.974248927028</v>
      </c>
      <c r="EN24" s="46">
        <f t="shared" si="32"/>
        <v>0</v>
      </c>
      <c r="EO24" s="46">
        <f t="shared" si="32"/>
        <v>0</v>
      </c>
      <c r="EP24" s="46">
        <f t="shared" si="32"/>
        <v>0</v>
      </c>
      <c r="EQ24" s="46">
        <f t="shared" si="32"/>
        <v>0</v>
      </c>
      <c r="ER24" s="46">
        <f t="shared" si="32"/>
        <v>0</v>
      </c>
      <c r="ES24" s="46">
        <f t="shared" si="32"/>
        <v>-62237.510729613714</v>
      </c>
      <c r="ET24" s="46">
        <f t="shared" si="32"/>
        <v>-133366.09442060083</v>
      </c>
      <c r="EU24" s="46">
        <f t="shared" si="32"/>
        <v>-137811.63090128751</v>
      </c>
      <c r="EV24" s="46">
        <f t="shared" si="32"/>
        <v>-137811.63090128751</v>
      </c>
      <c r="EW24" s="46">
        <f t="shared" si="32"/>
        <v>-128920.55793991413</v>
      </c>
      <c r="EX24" s="46">
        <f t="shared" si="32"/>
        <v>-137811.63090128751</v>
      </c>
      <c r="EY24" s="46">
        <f t="shared" si="32"/>
        <v>-57791.974248927028</v>
      </c>
      <c r="EZ24" s="46">
        <f t="shared" si="32"/>
        <v>0</v>
      </c>
      <c r="FA24" s="46">
        <f t="shared" si="32"/>
        <v>0</v>
      </c>
      <c r="FB24" s="46">
        <f t="shared" si="32"/>
        <v>0</v>
      </c>
      <c r="FC24" s="46">
        <f t="shared" si="32"/>
        <v>0</v>
      </c>
      <c r="FD24" s="46">
        <f t="shared" si="32"/>
        <v>0</v>
      </c>
      <c r="FE24" s="46">
        <f t="shared" si="32"/>
        <v>-62237.510729613714</v>
      </c>
      <c r="FF24" s="46">
        <f t="shared" si="32"/>
        <v>-133366.09442060083</v>
      </c>
      <c r="FG24" s="46">
        <f t="shared" si="32"/>
        <v>-137811.63090128751</v>
      </c>
      <c r="FH24" s="46">
        <f t="shared" si="32"/>
        <v>-137811.63090128751</v>
      </c>
      <c r="FI24" s="46">
        <f t="shared" si="32"/>
        <v>-128920.55793991413</v>
      </c>
      <c r="FJ24" s="46">
        <f t="shared" si="32"/>
        <v>-137811.63090128751</v>
      </c>
      <c r="FK24" s="46">
        <f t="shared" si="32"/>
        <v>-57791.974248927028</v>
      </c>
      <c r="FL24" s="46">
        <f t="shared" si="32"/>
        <v>0</v>
      </c>
      <c r="FM24" s="46">
        <f t="shared" si="32"/>
        <v>0</v>
      </c>
      <c r="FN24" s="46">
        <f t="shared" si="32"/>
        <v>0</v>
      </c>
      <c r="FO24" s="46">
        <f t="shared" si="32"/>
        <v>0</v>
      </c>
      <c r="FP24" s="46">
        <f t="shared" si="32"/>
        <v>0</v>
      </c>
      <c r="FQ24" s="46">
        <f t="shared" si="32"/>
        <v>-62237.510729613714</v>
      </c>
      <c r="FR24" s="46">
        <f t="shared" si="32"/>
        <v>-133366.09442060083</v>
      </c>
      <c r="FS24" s="46">
        <f t="shared" si="32"/>
        <v>-137811.63090128751</v>
      </c>
      <c r="FT24" s="46">
        <f t="shared" si="32"/>
        <v>-137811.63090128751</v>
      </c>
      <c r="FU24" s="46">
        <f t="shared" si="32"/>
        <v>-128920.55793991413</v>
      </c>
      <c r="FV24" s="46">
        <f t="shared" si="32"/>
        <v>-137811.63090128751</v>
      </c>
      <c r="FW24" s="46">
        <f t="shared" si="32"/>
        <v>-57791.974248927028</v>
      </c>
      <c r="FX24" s="46">
        <f t="shared" si="32"/>
        <v>0</v>
      </c>
      <c r="FY24" s="46">
        <f t="shared" si="32"/>
        <v>0</v>
      </c>
      <c r="FZ24" s="46">
        <f t="shared" si="32"/>
        <v>0</v>
      </c>
      <c r="GA24" s="46">
        <f t="shared" si="32"/>
        <v>0</v>
      </c>
      <c r="GB24" s="46">
        <f t="shared" si="32"/>
        <v>0</v>
      </c>
      <c r="GC24" s="46">
        <f t="shared" si="32"/>
        <v>-62237.510729613714</v>
      </c>
      <c r="GD24" s="46">
        <f t="shared" si="32"/>
        <v>-133366.09442060083</v>
      </c>
      <c r="GE24" s="46">
        <f t="shared" si="32"/>
        <v>-137811.63090128751</v>
      </c>
      <c r="GF24" s="46">
        <f t="shared" si="32"/>
        <v>-137811.63090128751</v>
      </c>
      <c r="GG24" s="46">
        <f t="shared" si="32"/>
        <v>-128920.55793991413</v>
      </c>
      <c r="GH24" s="46">
        <f t="shared" si="32"/>
        <v>-137811.63090128751</v>
      </c>
      <c r="GI24" s="46">
        <f t="shared" si="32"/>
        <v>-57791.974248927028</v>
      </c>
      <c r="GJ24" s="46">
        <f t="shared" si="32"/>
        <v>0</v>
      </c>
      <c r="GK24" s="46">
        <f t="shared" si="32"/>
        <v>0</v>
      </c>
      <c r="GL24" s="46">
        <f t="shared" ref="GL24:IG24" si="33">GL5+GL22+GL9</f>
        <v>0</v>
      </c>
      <c r="GM24" s="46">
        <f t="shared" si="33"/>
        <v>0</v>
      </c>
      <c r="GN24" s="46">
        <f t="shared" si="33"/>
        <v>0</v>
      </c>
      <c r="GO24" s="46">
        <f t="shared" si="33"/>
        <v>-62237.510729613714</v>
      </c>
      <c r="GP24" s="46">
        <f t="shared" si="33"/>
        <v>-133366.09442060083</v>
      </c>
      <c r="GQ24" s="46">
        <f t="shared" si="33"/>
        <v>-137811.63090128751</v>
      </c>
      <c r="GR24" s="46">
        <f t="shared" si="33"/>
        <v>-137811.63090128751</v>
      </c>
      <c r="GS24" s="46">
        <f t="shared" si="33"/>
        <v>-128920.55793991413</v>
      </c>
      <c r="GT24" s="46">
        <f t="shared" si="33"/>
        <v>-137811.63090128751</v>
      </c>
      <c r="GU24" s="46">
        <f t="shared" si="33"/>
        <v>-57791.974248927028</v>
      </c>
      <c r="GV24" s="46">
        <f t="shared" si="33"/>
        <v>0</v>
      </c>
      <c r="GW24" s="46">
        <f t="shared" si="33"/>
        <v>0</v>
      </c>
      <c r="GX24" s="46">
        <f t="shared" si="33"/>
        <v>0</v>
      </c>
      <c r="GY24" s="46">
        <f t="shared" si="33"/>
        <v>0</v>
      </c>
      <c r="GZ24" s="46">
        <f t="shared" si="33"/>
        <v>0</v>
      </c>
      <c r="HA24" s="46">
        <f t="shared" si="33"/>
        <v>-62237.510729613714</v>
      </c>
      <c r="HB24" s="46">
        <f t="shared" si="33"/>
        <v>-133366.09442060083</v>
      </c>
      <c r="HC24" s="46">
        <f t="shared" si="33"/>
        <v>-137811.63090128751</v>
      </c>
      <c r="HD24" s="46">
        <f t="shared" si="33"/>
        <v>-137811.63090128751</v>
      </c>
      <c r="HE24" s="46">
        <f t="shared" si="33"/>
        <v>-128920.55793991413</v>
      </c>
      <c r="HF24" s="46">
        <f t="shared" si="33"/>
        <v>-137811.63090128751</v>
      </c>
      <c r="HG24" s="46">
        <f t="shared" si="33"/>
        <v>-57791.974248927028</v>
      </c>
      <c r="HH24" s="46">
        <f t="shared" si="33"/>
        <v>0</v>
      </c>
      <c r="HI24" s="46">
        <f t="shared" si="33"/>
        <v>0</v>
      </c>
      <c r="HJ24" s="46">
        <f t="shared" si="33"/>
        <v>0</v>
      </c>
      <c r="HK24" s="46">
        <f t="shared" si="33"/>
        <v>0</v>
      </c>
      <c r="HL24" s="46">
        <f t="shared" si="33"/>
        <v>0</v>
      </c>
      <c r="HM24" s="46">
        <f t="shared" si="33"/>
        <v>-62237.510729613714</v>
      </c>
      <c r="HN24" s="46">
        <f t="shared" si="33"/>
        <v>-133366.09442060083</v>
      </c>
      <c r="HO24" s="46">
        <f t="shared" si="33"/>
        <v>-137811.63090128751</v>
      </c>
      <c r="HP24" s="46">
        <f t="shared" si="33"/>
        <v>-137811.63090128751</v>
      </c>
      <c r="HQ24" s="46">
        <f t="shared" si="33"/>
        <v>-128920.55793991413</v>
      </c>
      <c r="HR24" s="46">
        <f t="shared" si="33"/>
        <v>-137811.63090128751</v>
      </c>
      <c r="HS24" s="46">
        <f t="shared" si="33"/>
        <v>-57791.974248927028</v>
      </c>
      <c r="HT24" s="46">
        <f t="shared" si="33"/>
        <v>0</v>
      </c>
      <c r="HU24" s="46">
        <f t="shared" si="33"/>
        <v>0</v>
      </c>
      <c r="HV24" s="46">
        <f t="shared" si="33"/>
        <v>0</v>
      </c>
      <c r="HW24" s="46">
        <f t="shared" si="33"/>
        <v>0</v>
      </c>
      <c r="HX24" s="46">
        <f t="shared" si="33"/>
        <v>0</v>
      </c>
      <c r="HY24" s="46">
        <f t="shared" si="33"/>
        <v>-62237.510729613714</v>
      </c>
      <c r="HZ24" s="46">
        <f t="shared" si="33"/>
        <v>-133366.09442060083</v>
      </c>
      <c r="IA24" s="46">
        <f t="shared" si="33"/>
        <v>-137811.63090128751</v>
      </c>
      <c r="IB24" s="46">
        <f t="shared" si="33"/>
        <v>-137811.63090128751</v>
      </c>
      <c r="IC24" s="46">
        <f t="shared" si="33"/>
        <v>-128920.55793991413</v>
      </c>
      <c r="ID24" s="46">
        <f t="shared" si="33"/>
        <v>-137811.63090128751</v>
      </c>
      <c r="IE24" s="46">
        <f t="shared" si="33"/>
        <v>-57791.974248927028</v>
      </c>
      <c r="IF24" s="46">
        <f t="shared" si="33"/>
        <v>0</v>
      </c>
      <c r="IG24" s="46">
        <f t="shared" si="33"/>
        <v>0</v>
      </c>
    </row>
    <row r="25" spans="1:241" ht="60" outlineLevel="1" x14ac:dyDescent="0.25">
      <c r="A25" s="57" t="s">
        <v>318</v>
      </c>
      <c r="B25" s="46">
        <f t="shared" ref="B25:BM25" si="34">B5+B22+B10+B11</f>
        <v>-42446.486399999994</v>
      </c>
      <c r="C25" s="46">
        <f t="shared" si="34"/>
        <v>1074.2148559999996</v>
      </c>
      <c r="D25" s="46">
        <f t="shared" si="34"/>
        <v>1074.2148559999996</v>
      </c>
      <c r="E25" s="46">
        <f t="shared" si="34"/>
        <v>-19568.754231431383</v>
      </c>
      <c r="F25" s="46">
        <f t="shared" si="34"/>
        <v>-4692.1877078262323</v>
      </c>
      <c r="G25" s="46">
        <f t="shared" si="34"/>
        <v>-3762.4023001009109</v>
      </c>
      <c r="H25" s="46">
        <f t="shared" si="34"/>
        <v>-3225.2948721009111</v>
      </c>
      <c r="I25" s="46">
        <f t="shared" si="34"/>
        <v>-5084.8656875515462</v>
      </c>
      <c r="J25" s="46">
        <f t="shared" si="34"/>
        <v>-3225.2948721009111</v>
      </c>
      <c r="K25" s="46">
        <f t="shared" si="34"/>
        <v>-19961.432211156709</v>
      </c>
      <c r="L25" s="46">
        <f t="shared" si="34"/>
        <v>-32048.642511585898</v>
      </c>
      <c r="M25" s="46">
        <f t="shared" si="34"/>
        <v>-32048.642511585898</v>
      </c>
      <c r="N25" s="46">
        <f t="shared" si="34"/>
        <v>-32048.642511585898</v>
      </c>
      <c r="O25" s="46">
        <f t="shared" si="34"/>
        <v>-32048.642511585898</v>
      </c>
      <c r="P25" s="46">
        <f t="shared" si="34"/>
        <v>-32048.642511585898</v>
      </c>
      <c r="Q25" s="46">
        <f t="shared" si="34"/>
        <v>-12523.148949354125</v>
      </c>
      <c r="R25" s="46">
        <f t="shared" si="34"/>
        <v>9791.7008360536038</v>
      </c>
      <c r="S25" s="46">
        <f t="shared" si="34"/>
        <v>11186.37894764159</v>
      </c>
      <c r="T25" s="46">
        <f t="shared" si="34"/>
        <v>11992.040089641589</v>
      </c>
      <c r="U25" s="46">
        <f t="shared" si="34"/>
        <v>7808.0057548776458</v>
      </c>
      <c r="V25" s="46">
        <f t="shared" si="34"/>
        <v>11992.040089641589</v>
      </c>
      <c r="W25" s="46">
        <f t="shared" si="34"/>
        <v>-11717.487807354126</v>
      </c>
      <c r="X25" s="46">
        <f t="shared" si="34"/>
        <v>-31242.981369585897</v>
      </c>
      <c r="Y25" s="46">
        <f t="shared" si="34"/>
        <v>-31242.981369585897</v>
      </c>
      <c r="Z25" s="46">
        <f t="shared" si="34"/>
        <v>-31242.981369585897</v>
      </c>
      <c r="AA25" s="46">
        <f t="shared" si="34"/>
        <v>-31242.981369585897</v>
      </c>
      <c r="AB25" s="46">
        <f t="shared" si="34"/>
        <v>-31242.981369585897</v>
      </c>
      <c r="AC25" s="46">
        <f t="shared" si="34"/>
        <v>-1954.7410262382396</v>
      </c>
      <c r="AD25" s="46">
        <f t="shared" si="34"/>
        <v>31517.53365187336</v>
      </c>
      <c r="AE25" s="46">
        <f t="shared" si="34"/>
        <v>33609.550819255332</v>
      </c>
      <c r="AF25" s="46">
        <f t="shared" si="34"/>
        <v>33609.550819255332</v>
      </c>
      <c r="AG25" s="46">
        <f t="shared" si="34"/>
        <v>27333.499317109417</v>
      </c>
      <c r="AH25" s="46">
        <f t="shared" si="34"/>
        <v>33609.550819255332</v>
      </c>
      <c r="AI25" s="46">
        <f t="shared" si="34"/>
        <v>-1954.7410262382396</v>
      </c>
      <c r="AJ25" s="46">
        <f t="shared" si="34"/>
        <v>-31242.981369585897</v>
      </c>
      <c r="AK25" s="46">
        <f t="shared" si="34"/>
        <v>-31242.981369585897</v>
      </c>
      <c r="AL25" s="46">
        <f t="shared" si="34"/>
        <v>-31242.981369585897</v>
      </c>
      <c r="AM25" s="46">
        <f t="shared" si="34"/>
        <v>-31242.981369585897</v>
      </c>
      <c r="AN25" s="46">
        <f t="shared" si="34"/>
        <v>-31242.981369585897</v>
      </c>
      <c r="AO25" s="46">
        <f t="shared" si="34"/>
        <v>-1954.7410262382396</v>
      </c>
      <c r="AP25" s="46">
        <f t="shared" si="34"/>
        <v>31517.53365187336</v>
      </c>
      <c r="AQ25" s="46">
        <f t="shared" si="34"/>
        <v>33609.550819255332</v>
      </c>
      <c r="AR25" s="46">
        <f t="shared" si="34"/>
        <v>33609.550819255332</v>
      </c>
      <c r="AS25" s="46">
        <f t="shared" si="34"/>
        <v>27333.499317109417</v>
      </c>
      <c r="AT25" s="46">
        <f t="shared" si="34"/>
        <v>33609.550819255332</v>
      </c>
      <c r="AU25" s="46">
        <f t="shared" si="34"/>
        <v>-1954.7410262382396</v>
      </c>
      <c r="AV25" s="46">
        <f t="shared" si="34"/>
        <v>-31242.981369585897</v>
      </c>
      <c r="AW25" s="46">
        <f t="shared" si="34"/>
        <v>-31242.981369585897</v>
      </c>
      <c r="AX25" s="46">
        <f t="shared" si="34"/>
        <v>-31242.981369585897</v>
      </c>
      <c r="AY25" s="46">
        <f t="shared" si="34"/>
        <v>-31242.981369585897</v>
      </c>
      <c r="AZ25" s="46">
        <f t="shared" si="34"/>
        <v>-31242.981369585897</v>
      </c>
      <c r="BA25" s="46">
        <f t="shared" si="34"/>
        <v>-1954.7410262382396</v>
      </c>
      <c r="BB25" s="46">
        <f t="shared" si="34"/>
        <v>31517.53365187336</v>
      </c>
      <c r="BC25" s="46">
        <f t="shared" si="34"/>
        <v>33609.550819255332</v>
      </c>
      <c r="BD25" s="46">
        <f t="shared" si="34"/>
        <v>33609.550819255332</v>
      </c>
      <c r="BE25" s="46">
        <f t="shared" si="34"/>
        <v>29425.516484491374</v>
      </c>
      <c r="BF25" s="46">
        <f t="shared" si="34"/>
        <v>33609.550819255332</v>
      </c>
      <c r="BG25" s="46">
        <f t="shared" si="34"/>
        <v>-4046.7581936202255</v>
      </c>
      <c r="BH25" s="46">
        <f t="shared" si="34"/>
        <v>-31242.981369585897</v>
      </c>
      <c r="BI25" s="46">
        <f t="shared" si="34"/>
        <v>-31242.981369585897</v>
      </c>
      <c r="BJ25" s="46">
        <f t="shared" si="34"/>
        <v>-31242.981369585897</v>
      </c>
      <c r="BK25" s="46">
        <f t="shared" si="34"/>
        <v>-31242.981369585897</v>
      </c>
      <c r="BL25" s="46">
        <f t="shared" si="34"/>
        <v>-31242.981369585897</v>
      </c>
      <c r="BM25" s="46">
        <f t="shared" si="34"/>
        <v>31705.223769347656</v>
      </c>
      <c r="BN25" s="46">
        <f t="shared" ref="BN25:DY25" si="35">BN5+BN22+BN10+BN11</f>
        <v>65177.498447459257</v>
      </c>
      <c r="BO25" s="46">
        <f t="shared" si="35"/>
        <v>67269.515614841235</v>
      </c>
      <c r="BP25" s="46">
        <f t="shared" si="35"/>
        <v>67269.515614841235</v>
      </c>
      <c r="BQ25" s="46">
        <f t="shared" si="35"/>
        <v>63085.481280077271</v>
      </c>
      <c r="BR25" s="46">
        <f t="shared" si="35"/>
        <v>67269.515614841235</v>
      </c>
      <c r="BS25" s="46">
        <f t="shared" si="35"/>
        <v>29613.20660196567</v>
      </c>
      <c r="BT25" s="46">
        <f t="shared" si="35"/>
        <v>2416.9834259999993</v>
      </c>
      <c r="BU25" s="46">
        <f t="shared" si="35"/>
        <v>2416.9834259999993</v>
      </c>
      <c r="BV25" s="46">
        <f t="shared" si="35"/>
        <v>2416.9834259999993</v>
      </c>
      <c r="BW25" s="46">
        <f t="shared" si="35"/>
        <v>2416.9834259999993</v>
      </c>
      <c r="BX25" s="46">
        <f t="shared" si="35"/>
        <v>2416.9834259999993</v>
      </c>
      <c r="BY25" s="46">
        <f t="shared" si="35"/>
        <v>31705.223769347656</v>
      </c>
      <c r="BZ25" s="46">
        <f t="shared" si="35"/>
        <v>65177.498447459257</v>
      </c>
      <c r="CA25" s="46">
        <f t="shared" si="35"/>
        <v>67269.515614841235</v>
      </c>
      <c r="CB25" s="46">
        <f t="shared" si="35"/>
        <v>67269.515614841235</v>
      </c>
      <c r="CC25" s="46">
        <f t="shared" si="35"/>
        <v>63085.481280077271</v>
      </c>
      <c r="CD25" s="46">
        <f t="shared" si="35"/>
        <v>67269.515614841235</v>
      </c>
      <c r="CE25" s="46">
        <f t="shared" si="35"/>
        <v>29613.20660196567</v>
      </c>
      <c r="CF25" s="46">
        <f t="shared" si="35"/>
        <v>2416.9834259999993</v>
      </c>
      <c r="CG25" s="46">
        <f t="shared" si="35"/>
        <v>2416.9834259999993</v>
      </c>
      <c r="CH25" s="46">
        <f t="shared" si="35"/>
        <v>2416.9834259999993</v>
      </c>
      <c r="CI25" s="46">
        <f t="shared" si="35"/>
        <v>2416.9834259999993</v>
      </c>
      <c r="CJ25" s="46">
        <f t="shared" si="35"/>
        <v>2416.9834259999993</v>
      </c>
      <c r="CK25" s="46">
        <f t="shared" si="35"/>
        <v>31705.223769347656</v>
      </c>
      <c r="CL25" s="46">
        <f t="shared" si="35"/>
        <v>65177.498447459257</v>
      </c>
      <c r="CM25" s="46">
        <f t="shared" si="35"/>
        <v>67269.515614841235</v>
      </c>
      <c r="CN25" s="46">
        <f t="shared" si="35"/>
        <v>67269.515614841235</v>
      </c>
      <c r="CO25" s="46">
        <f t="shared" si="35"/>
        <v>63085.481280077271</v>
      </c>
      <c r="CP25" s="46">
        <f t="shared" si="35"/>
        <v>67269.515614841235</v>
      </c>
      <c r="CQ25" s="46">
        <f t="shared" si="35"/>
        <v>29613.20660196567</v>
      </c>
      <c r="CR25" s="46">
        <f t="shared" si="35"/>
        <v>2416.9834259999993</v>
      </c>
      <c r="CS25" s="46">
        <f t="shared" si="35"/>
        <v>2416.9834259999993</v>
      </c>
      <c r="CT25" s="46">
        <f t="shared" si="35"/>
        <v>2416.9834259999993</v>
      </c>
      <c r="CU25" s="46">
        <f t="shared" si="35"/>
        <v>2416.9834259999993</v>
      </c>
      <c r="CV25" s="46">
        <f t="shared" si="35"/>
        <v>2416.9834259999993</v>
      </c>
      <c r="CW25" s="46">
        <f t="shared" si="35"/>
        <v>31705.223769347656</v>
      </c>
      <c r="CX25" s="46">
        <f t="shared" si="35"/>
        <v>65177.498447459257</v>
      </c>
      <c r="CY25" s="46">
        <f t="shared" si="35"/>
        <v>67269.515614841235</v>
      </c>
      <c r="CZ25" s="46">
        <f t="shared" si="35"/>
        <v>67269.515614841235</v>
      </c>
      <c r="DA25" s="46">
        <f t="shared" si="35"/>
        <v>63085.481280077271</v>
      </c>
      <c r="DB25" s="46">
        <f t="shared" si="35"/>
        <v>67269.515614841235</v>
      </c>
      <c r="DC25" s="46">
        <f t="shared" si="35"/>
        <v>29613.20660196567</v>
      </c>
      <c r="DD25" s="46">
        <f t="shared" si="35"/>
        <v>2416.9834259999993</v>
      </c>
      <c r="DE25" s="46">
        <f t="shared" si="35"/>
        <v>2416.9834259999993</v>
      </c>
      <c r="DF25" s="46">
        <f t="shared" si="35"/>
        <v>2416.9834259999993</v>
      </c>
      <c r="DG25" s="46">
        <f t="shared" si="35"/>
        <v>2416.9834259999993</v>
      </c>
      <c r="DH25" s="46">
        <f t="shared" si="35"/>
        <v>2416.9834259999993</v>
      </c>
      <c r="DI25" s="46">
        <f t="shared" si="35"/>
        <v>31705.223769347656</v>
      </c>
      <c r="DJ25" s="46">
        <f t="shared" si="35"/>
        <v>65177.498447459257</v>
      </c>
      <c r="DK25" s="46">
        <f t="shared" si="35"/>
        <v>67269.515614841235</v>
      </c>
      <c r="DL25" s="46">
        <f t="shared" si="35"/>
        <v>67269.515614841235</v>
      </c>
      <c r="DM25" s="46">
        <f t="shared" si="35"/>
        <v>63085.481280077271</v>
      </c>
      <c r="DN25" s="46">
        <f t="shared" si="35"/>
        <v>67269.515614841235</v>
      </c>
      <c r="DO25" s="46">
        <f t="shared" si="35"/>
        <v>29613.20660196567</v>
      </c>
      <c r="DP25" s="46">
        <f t="shared" si="35"/>
        <v>2416.9834259999993</v>
      </c>
      <c r="DQ25" s="46">
        <f t="shared" si="35"/>
        <v>2416.9834259999993</v>
      </c>
      <c r="DR25" s="46">
        <f t="shared" si="35"/>
        <v>2416.9834259999993</v>
      </c>
      <c r="DS25" s="46">
        <f t="shared" si="35"/>
        <v>2416.9834259999993</v>
      </c>
      <c r="DT25" s="46">
        <f t="shared" si="35"/>
        <v>2416.9834259999993</v>
      </c>
      <c r="DU25" s="46">
        <f t="shared" si="35"/>
        <v>31705.223769347656</v>
      </c>
      <c r="DV25" s="46">
        <f t="shared" si="35"/>
        <v>65177.498447459257</v>
      </c>
      <c r="DW25" s="46">
        <f t="shared" si="35"/>
        <v>67269.515614841235</v>
      </c>
      <c r="DX25" s="46">
        <f t="shared" si="35"/>
        <v>67269.515614841235</v>
      </c>
      <c r="DY25" s="46">
        <f t="shared" si="35"/>
        <v>63085.481280077271</v>
      </c>
      <c r="DZ25" s="46">
        <f t="shared" ref="DZ25:GK25" si="36">DZ5+DZ22+DZ10+DZ11</f>
        <v>67269.515614841235</v>
      </c>
      <c r="EA25" s="46">
        <f t="shared" si="36"/>
        <v>29613.20660196567</v>
      </c>
      <c r="EB25" s="46">
        <f t="shared" si="36"/>
        <v>2416.9834259999993</v>
      </c>
      <c r="EC25" s="46">
        <f t="shared" si="36"/>
        <v>2416.9834259999993</v>
      </c>
      <c r="ED25" s="46">
        <f t="shared" si="36"/>
        <v>2416.9834259999993</v>
      </c>
      <c r="EE25" s="46">
        <f t="shared" si="36"/>
        <v>2416.9834259999993</v>
      </c>
      <c r="EF25" s="46">
        <f t="shared" si="36"/>
        <v>2416.9834259999993</v>
      </c>
      <c r="EG25" s="46">
        <f t="shared" si="36"/>
        <v>31705.223769347656</v>
      </c>
      <c r="EH25" s="46">
        <f t="shared" si="36"/>
        <v>65177.498447459257</v>
      </c>
      <c r="EI25" s="46">
        <f t="shared" si="36"/>
        <v>67269.515614841235</v>
      </c>
      <c r="EJ25" s="46">
        <f t="shared" si="36"/>
        <v>67269.515614841235</v>
      </c>
      <c r="EK25" s="46">
        <f t="shared" si="36"/>
        <v>63085.481280077271</v>
      </c>
      <c r="EL25" s="46">
        <f t="shared" si="36"/>
        <v>67269.515614841235</v>
      </c>
      <c r="EM25" s="46">
        <f t="shared" si="36"/>
        <v>29613.20660196567</v>
      </c>
      <c r="EN25" s="46">
        <f t="shared" si="36"/>
        <v>2416.9834259999993</v>
      </c>
      <c r="EO25" s="46">
        <f t="shared" si="36"/>
        <v>2416.9834259999993</v>
      </c>
      <c r="EP25" s="46">
        <f t="shared" si="36"/>
        <v>2416.9834259999993</v>
      </c>
      <c r="EQ25" s="46">
        <f t="shared" si="36"/>
        <v>2416.9834259999993</v>
      </c>
      <c r="ER25" s="46">
        <f t="shared" si="36"/>
        <v>2416.9834259999993</v>
      </c>
      <c r="ES25" s="46">
        <f t="shared" si="36"/>
        <v>31705.223769347656</v>
      </c>
      <c r="ET25" s="46">
        <f t="shared" si="36"/>
        <v>65177.498447459257</v>
      </c>
      <c r="EU25" s="46">
        <f t="shared" si="36"/>
        <v>67269.515614841235</v>
      </c>
      <c r="EV25" s="46">
        <f t="shared" si="36"/>
        <v>67269.515614841235</v>
      </c>
      <c r="EW25" s="46">
        <f t="shared" si="36"/>
        <v>63085.481280077271</v>
      </c>
      <c r="EX25" s="46">
        <f t="shared" si="36"/>
        <v>67269.515614841235</v>
      </c>
      <c r="EY25" s="46">
        <f t="shared" si="36"/>
        <v>29613.20660196567</v>
      </c>
      <c r="EZ25" s="46">
        <f t="shared" si="36"/>
        <v>2416.9834259999993</v>
      </c>
      <c r="FA25" s="46">
        <f t="shared" si="36"/>
        <v>2416.9834259999993</v>
      </c>
      <c r="FB25" s="46">
        <f t="shared" si="36"/>
        <v>2416.9834259999993</v>
      </c>
      <c r="FC25" s="46">
        <f t="shared" si="36"/>
        <v>2416.9834259999993</v>
      </c>
      <c r="FD25" s="46">
        <f t="shared" si="36"/>
        <v>2416.9834259999993</v>
      </c>
      <c r="FE25" s="46">
        <f t="shared" si="36"/>
        <v>31705.223769347656</v>
      </c>
      <c r="FF25" s="46">
        <f t="shared" si="36"/>
        <v>65177.498447459257</v>
      </c>
      <c r="FG25" s="46">
        <f t="shared" si="36"/>
        <v>67269.515614841235</v>
      </c>
      <c r="FH25" s="46">
        <f t="shared" si="36"/>
        <v>67269.515614841235</v>
      </c>
      <c r="FI25" s="46">
        <f t="shared" si="36"/>
        <v>63085.481280077271</v>
      </c>
      <c r="FJ25" s="46">
        <f t="shared" si="36"/>
        <v>67269.515614841235</v>
      </c>
      <c r="FK25" s="46">
        <f t="shared" si="36"/>
        <v>29613.20660196567</v>
      </c>
      <c r="FL25" s="46">
        <f t="shared" si="36"/>
        <v>2416.9834259999993</v>
      </c>
      <c r="FM25" s="46">
        <f t="shared" si="36"/>
        <v>2416.9834259999993</v>
      </c>
      <c r="FN25" s="46">
        <f t="shared" si="36"/>
        <v>2416.9834259999993</v>
      </c>
      <c r="FO25" s="46">
        <f t="shared" si="36"/>
        <v>2416.9834259999993</v>
      </c>
      <c r="FP25" s="46">
        <f t="shared" si="36"/>
        <v>2416.9834259999993</v>
      </c>
      <c r="FQ25" s="46">
        <f t="shared" si="36"/>
        <v>31705.223769347656</v>
      </c>
      <c r="FR25" s="46">
        <f t="shared" si="36"/>
        <v>65177.498447459257</v>
      </c>
      <c r="FS25" s="46">
        <f t="shared" si="36"/>
        <v>67269.515614841235</v>
      </c>
      <c r="FT25" s="46">
        <f t="shared" si="36"/>
        <v>67269.515614841235</v>
      </c>
      <c r="FU25" s="46">
        <f t="shared" si="36"/>
        <v>63085.481280077271</v>
      </c>
      <c r="FV25" s="46">
        <f t="shared" si="36"/>
        <v>67269.515614841235</v>
      </c>
      <c r="FW25" s="46">
        <f t="shared" si="36"/>
        <v>29613.20660196567</v>
      </c>
      <c r="FX25" s="46">
        <f t="shared" si="36"/>
        <v>2416.9834259999993</v>
      </c>
      <c r="FY25" s="46">
        <f t="shared" si="36"/>
        <v>2416.9834259999993</v>
      </c>
      <c r="FZ25" s="46">
        <f t="shared" si="36"/>
        <v>2416.9834259999993</v>
      </c>
      <c r="GA25" s="46">
        <f t="shared" si="36"/>
        <v>2416.9834259999993</v>
      </c>
      <c r="GB25" s="46">
        <f t="shared" si="36"/>
        <v>2416.9834259999993</v>
      </c>
      <c r="GC25" s="46">
        <f t="shared" si="36"/>
        <v>31705.223769347656</v>
      </c>
      <c r="GD25" s="46">
        <f t="shared" si="36"/>
        <v>65177.498447459257</v>
      </c>
      <c r="GE25" s="46">
        <f t="shared" si="36"/>
        <v>67269.515614841235</v>
      </c>
      <c r="GF25" s="46">
        <f t="shared" si="36"/>
        <v>67269.515614841235</v>
      </c>
      <c r="GG25" s="46">
        <f t="shared" si="36"/>
        <v>63085.481280077271</v>
      </c>
      <c r="GH25" s="46">
        <f t="shared" si="36"/>
        <v>67269.515614841235</v>
      </c>
      <c r="GI25" s="46">
        <f t="shared" si="36"/>
        <v>29613.20660196567</v>
      </c>
      <c r="GJ25" s="46">
        <f t="shared" si="36"/>
        <v>2416.9834259999993</v>
      </c>
      <c r="GK25" s="46">
        <f t="shared" si="36"/>
        <v>2416.9834259999993</v>
      </c>
      <c r="GL25" s="46">
        <f t="shared" ref="GL25:IG25" si="37">GL5+GL22+GL10+GL11</f>
        <v>2416.9834259999993</v>
      </c>
      <c r="GM25" s="46">
        <f t="shared" si="37"/>
        <v>2416.9834259999993</v>
      </c>
      <c r="GN25" s="46">
        <f t="shared" si="37"/>
        <v>2416.9834259999993</v>
      </c>
      <c r="GO25" s="46">
        <f t="shared" si="37"/>
        <v>31705.223769347656</v>
      </c>
      <c r="GP25" s="46">
        <f t="shared" si="37"/>
        <v>65177.498447459257</v>
      </c>
      <c r="GQ25" s="46">
        <f t="shared" si="37"/>
        <v>67269.515614841235</v>
      </c>
      <c r="GR25" s="46">
        <f t="shared" si="37"/>
        <v>67269.515614841235</v>
      </c>
      <c r="GS25" s="46">
        <f t="shared" si="37"/>
        <v>63085.481280077271</v>
      </c>
      <c r="GT25" s="46">
        <f t="shared" si="37"/>
        <v>67269.515614841235</v>
      </c>
      <c r="GU25" s="46">
        <f t="shared" si="37"/>
        <v>29613.20660196567</v>
      </c>
      <c r="GV25" s="46">
        <f t="shared" si="37"/>
        <v>2416.9834259999993</v>
      </c>
      <c r="GW25" s="46">
        <f t="shared" si="37"/>
        <v>2416.9834259999993</v>
      </c>
      <c r="GX25" s="46">
        <f t="shared" si="37"/>
        <v>2416.9834259999993</v>
      </c>
      <c r="GY25" s="46">
        <f t="shared" si="37"/>
        <v>2416.9834259999993</v>
      </c>
      <c r="GZ25" s="46">
        <f t="shared" si="37"/>
        <v>2416.9834259999993</v>
      </c>
      <c r="HA25" s="46">
        <f t="shared" si="37"/>
        <v>31705.223769347656</v>
      </c>
      <c r="HB25" s="46">
        <f t="shared" si="37"/>
        <v>65177.498447459257</v>
      </c>
      <c r="HC25" s="46">
        <f t="shared" si="37"/>
        <v>67269.515614841235</v>
      </c>
      <c r="HD25" s="46">
        <f t="shared" si="37"/>
        <v>67269.515614841235</v>
      </c>
      <c r="HE25" s="46">
        <f t="shared" si="37"/>
        <v>63085.481280077271</v>
      </c>
      <c r="HF25" s="46">
        <f t="shared" si="37"/>
        <v>67269.515614841235</v>
      </c>
      <c r="HG25" s="46">
        <f t="shared" si="37"/>
        <v>29613.20660196567</v>
      </c>
      <c r="HH25" s="46">
        <f t="shared" si="37"/>
        <v>2416.9834259999993</v>
      </c>
      <c r="HI25" s="46">
        <f t="shared" si="37"/>
        <v>2416.9834259999993</v>
      </c>
      <c r="HJ25" s="46">
        <f t="shared" si="37"/>
        <v>2416.9834259999993</v>
      </c>
      <c r="HK25" s="46">
        <f t="shared" si="37"/>
        <v>2416.9834259999993</v>
      </c>
      <c r="HL25" s="46">
        <f t="shared" si="37"/>
        <v>2416.9834259999993</v>
      </c>
      <c r="HM25" s="46">
        <f t="shared" si="37"/>
        <v>31705.223769347656</v>
      </c>
      <c r="HN25" s="46">
        <f t="shared" si="37"/>
        <v>65177.498447459257</v>
      </c>
      <c r="HO25" s="46">
        <f t="shared" si="37"/>
        <v>67269.515614841235</v>
      </c>
      <c r="HP25" s="46">
        <f t="shared" si="37"/>
        <v>67269.515614841235</v>
      </c>
      <c r="HQ25" s="46">
        <f t="shared" si="37"/>
        <v>63085.481280077271</v>
      </c>
      <c r="HR25" s="46">
        <f t="shared" si="37"/>
        <v>67269.515614841235</v>
      </c>
      <c r="HS25" s="46">
        <f t="shared" si="37"/>
        <v>29613.20660196567</v>
      </c>
      <c r="HT25" s="46">
        <f t="shared" si="37"/>
        <v>2416.9834259999993</v>
      </c>
      <c r="HU25" s="46">
        <f t="shared" si="37"/>
        <v>2416.9834259999993</v>
      </c>
      <c r="HV25" s="46">
        <f t="shared" si="37"/>
        <v>2416.9834259999993</v>
      </c>
      <c r="HW25" s="46">
        <f t="shared" si="37"/>
        <v>2416.9834259999993</v>
      </c>
      <c r="HX25" s="46">
        <f t="shared" si="37"/>
        <v>2416.9834259999993</v>
      </c>
      <c r="HY25" s="46">
        <f t="shared" si="37"/>
        <v>31705.223769347656</v>
      </c>
      <c r="HZ25" s="46">
        <f t="shared" si="37"/>
        <v>65177.498447459257</v>
      </c>
      <c r="IA25" s="46">
        <f t="shared" si="37"/>
        <v>67269.515614841235</v>
      </c>
      <c r="IB25" s="46">
        <f t="shared" si="37"/>
        <v>67269.515614841235</v>
      </c>
      <c r="IC25" s="46">
        <f t="shared" si="37"/>
        <v>63085.481280077271</v>
      </c>
      <c r="ID25" s="46">
        <f t="shared" si="37"/>
        <v>67269.515614841235</v>
      </c>
      <c r="IE25" s="46">
        <f t="shared" si="37"/>
        <v>29613.20660196567</v>
      </c>
      <c r="IF25" s="46">
        <f t="shared" si="37"/>
        <v>2416.9834259999993</v>
      </c>
      <c r="IG25" s="46">
        <f t="shared" si="37"/>
        <v>2416.9834259999993</v>
      </c>
    </row>
    <row r="26" spans="1:241" ht="60" outlineLevel="1" x14ac:dyDescent="0.25">
      <c r="A26" s="57" t="s">
        <v>317</v>
      </c>
      <c r="B26" s="46">
        <f>B25</f>
        <v>-42446.486399999994</v>
      </c>
      <c r="C26" s="46">
        <f t="shared" ref="C26:BN26" si="38">B26+C25</f>
        <v>-41372.271543999996</v>
      </c>
      <c r="D26" s="46">
        <f t="shared" si="38"/>
        <v>-40298.056687999997</v>
      </c>
      <c r="E26" s="46">
        <f t="shared" si="38"/>
        <v>-59866.81091943138</v>
      </c>
      <c r="F26" s="46">
        <f t="shared" si="38"/>
        <v>-64558.998627257613</v>
      </c>
      <c r="G26" s="46">
        <f t="shared" si="38"/>
        <v>-68321.400927358525</v>
      </c>
      <c r="H26" s="46">
        <f t="shared" si="38"/>
        <v>-71546.695799459441</v>
      </c>
      <c r="I26" s="46">
        <f t="shared" si="38"/>
        <v>-76631.561487010986</v>
      </c>
      <c r="J26" s="46">
        <f t="shared" si="38"/>
        <v>-79856.856359111902</v>
      </c>
      <c r="K26" s="46">
        <f t="shared" si="38"/>
        <v>-99818.288570268604</v>
      </c>
      <c r="L26" s="46">
        <f t="shared" si="38"/>
        <v>-131866.93108185451</v>
      </c>
      <c r="M26" s="46">
        <f t="shared" si="38"/>
        <v>-163915.57359344041</v>
      </c>
      <c r="N26" s="46">
        <f t="shared" si="38"/>
        <v>-195964.21610502631</v>
      </c>
      <c r="O26" s="46">
        <f t="shared" si="38"/>
        <v>-228012.85861661221</v>
      </c>
      <c r="P26" s="46">
        <f t="shared" si="38"/>
        <v>-260061.50112819811</v>
      </c>
      <c r="Q26" s="46">
        <f t="shared" si="38"/>
        <v>-272584.65007755224</v>
      </c>
      <c r="R26" s="46">
        <f t="shared" si="38"/>
        <v>-262792.94924149866</v>
      </c>
      <c r="S26" s="46">
        <f t="shared" si="38"/>
        <v>-251606.57029385708</v>
      </c>
      <c r="T26" s="46">
        <f t="shared" si="38"/>
        <v>-239614.53020421549</v>
      </c>
      <c r="U26" s="46">
        <f t="shared" si="38"/>
        <v>-231806.52444933786</v>
      </c>
      <c r="V26" s="46">
        <f t="shared" si="38"/>
        <v>-219814.48435969627</v>
      </c>
      <c r="W26" s="46">
        <f t="shared" si="38"/>
        <v>-231531.97216705041</v>
      </c>
      <c r="X26" s="46">
        <f t="shared" si="38"/>
        <v>-262774.95353663631</v>
      </c>
      <c r="Y26" s="46">
        <f t="shared" si="38"/>
        <v>-294017.93490622222</v>
      </c>
      <c r="Z26" s="46">
        <f t="shared" si="38"/>
        <v>-325260.91627580812</v>
      </c>
      <c r="AA26" s="46">
        <f t="shared" si="38"/>
        <v>-356503.89764539403</v>
      </c>
      <c r="AB26" s="46">
        <f t="shared" si="38"/>
        <v>-387746.87901497993</v>
      </c>
      <c r="AC26" s="46">
        <f t="shared" si="38"/>
        <v>-389701.62004121818</v>
      </c>
      <c r="AD26" s="46">
        <f t="shared" si="38"/>
        <v>-358184.08638934483</v>
      </c>
      <c r="AE26" s="46">
        <f t="shared" si="38"/>
        <v>-324574.53557008947</v>
      </c>
      <c r="AF26" s="46">
        <f t="shared" si="38"/>
        <v>-290964.98475083412</v>
      </c>
      <c r="AG26" s="46">
        <f t="shared" si="38"/>
        <v>-263631.48543372471</v>
      </c>
      <c r="AH26" s="46">
        <f t="shared" si="38"/>
        <v>-230021.93461446938</v>
      </c>
      <c r="AI26" s="46">
        <f t="shared" si="38"/>
        <v>-231976.67564070763</v>
      </c>
      <c r="AJ26" s="46">
        <f t="shared" si="38"/>
        <v>-263219.65701029351</v>
      </c>
      <c r="AK26" s="46">
        <f t="shared" si="38"/>
        <v>-294462.63837987941</v>
      </c>
      <c r="AL26" s="46">
        <f t="shared" si="38"/>
        <v>-325705.61974946532</v>
      </c>
      <c r="AM26" s="46">
        <f t="shared" si="38"/>
        <v>-356948.60111905122</v>
      </c>
      <c r="AN26" s="46">
        <f t="shared" si="38"/>
        <v>-388191.58248863713</v>
      </c>
      <c r="AO26" s="46">
        <f t="shared" si="38"/>
        <v>-390146.32351487537</v>
      </c>
      <c r="AP26" s="46">
        <f t="shared" si="38"/>
        <v>-358628.78986300202</v>
      </c>
      <c r="AQ26" s="46">
        <f t="shared" si="38"/>
        <v>-325019.23904374667</v>
      </c>
      <c r="AR26" s="46">
        <f t="shared" si="38"/>
        <v>-291409.68822449131</v>
      </c>
      <c r="AS26" s="46">
        <f t="shared" si="38"/>
        <v>-264076.1889073819</v>
      </c>
      <c r="AT26" s="46">
        <f t="shared" si="38"/>
        <v>-230466.63808812658</v>
      </c>
      <c r="AU26" s="46">
        <f t="shared" si="38"/>
        <v>-232421.37911436483</v>
      </c>
      <c r="AV26" s="46">
        <f t="shared" si="38"/>
        <v>-263664.3604839507</v>
      </c>
      <c r="AW26" s="46">
        <f t="shared" si="38"/>
        <v>-294907.34185353661</v>
      </c>
      <c r="AX26" s="46">
        <f t="shared" si="38"/>
        <v>-326150.32322312251</v>
      </c>
      <c r="AY26" s="46">
        <f t="shared" si="38"/>
        <v>-357393.30459270842</v>
      </c>
      <c r="AZ26" s="46">
        <f t="shared" si="38"/>
        <v>-388636.28596229432</v>
      </c>
      <c r="BA26" s="46">
        <f t="shared" si="38"/>
        <v>-390591.02698853257</v>
      </c>
      <c r="BB26" s="46">
        <f t="shared" si="38"/>
        <v>-359073.49333665922</v>
      </c>
      <c r="BC26" s="46">
        <f t="shared" si="38"/>
        <v>-325463.94251740386</v>
      </c>
      <c r="BD26" s="46">
        <f t="shared" si="38"/>
        <v>-291854.39169814851</v>
      </c>
      <c r="BE26" s="46">
        <f t="shared" si="38"/>
        <v>-262428.87521365716</v>
      </c>
      <c r="BF26" s="46">
        <f t="shared" si="38"/>
        <v>-228819.32439440183</v>
      </c>
      <c r="BG26" s="46">
        <f t="shared" si="38"/>
        <v>-232866.08258802205</v>
      </c>
      <c r="BH26" s="46">
        <f t="shared" si="38"/>
        <v>-264109.06395760796</v>
      </c>
      <c r="BI26" s="46">
        <f t="shared" si="38"/>
        <v>-295352.04532719386</v>
      </c>
      <c r="BJ26" s="46">
        <f t="shared" si="38"/>
        <v>-326595.02669677977</v>
      </c>
      <c r="BK26" s="46">
        <f t="shared" si="38"/>
        <v>-357838.00806636567</v>
      </c>
      <c r="BL26" s="46">
        <f t="shared" si="38"/>
        <v>-389080.98943595157</v>
      </c>
      <c r="BM26" s="46">
        <f t="shared" si="38"/>
        <v>-357375.76566660393</v>
      </c>
      <c r="BN26" s="46">
        <f t="shared" si="38"/>
        <v>-292198.26721914468</v>
      </c>
      <c r="BO26" s="46">
        <f t="shared" ref="BO26:DZ26" si="39">BN26+BO25</f>
        <v>-224928.75160430343</v>
      </c>
      <c r="BP26" s="46">
        <f t="shared" si="39"/>
        <v>-157659.23598946218</v>
      </c>
      <c r="BQ26" s="46">
        <f t="shared" si="39"/>
        <v>-94573.754709384899</v>
      </c>
      <c r="BR26" s="46">
        <f t="shared" si="39"/>
        <v>-27304.239094543664</v>
      </c>
      <c r="BS26" s="46">
        <f t="shared" si="39"/>
        <v>2308.9675074220067</v>
      </c>
      <c r="BT26" s="46">
        <f t="shared" si="39"/>
        <v>4725.9509334220056</v>
      </c>
      <c r="BU26" s="46">
        <f t="shared" si="39"/>
        <v>7142.9343594220045</v>
      </c>
      <c r="BV26" s="46">
        <f t="shared" si="39"/>
        <v>9559.9177854220034</v>
      </c>
      <c r="BW26" s="46">
        <f t="shared" si="39"/>
        <v>11976.901211422002</v>
      </c>
      <c r="BX26" s="46">
        <f t="shared" si="39"/>
        <v>14393.884637422001</v>
      </c>
      <c r="BY26" s="46">
        <f t="shared" si="39"/>
        <v>46099.108406769657</v>
      </c>
      <c r="BZ26" s="46">
        <f t="shared" si="39"/>
        <v>111276.60685422891</v>
      </c>
      <c r="CA26" s="46">
        <f t="shared" si="39"/>
        <v>178546.12246907013</v>
      </c>
      <c r="CB26" s="46">
        <f t="shared" si="39"/>
        <v>245815.63808391138</v>
      </c>
      <c r="CC26" s="46">
        <f t="shared" si="39"/>
        <v>308901.11936398863</v>
      </c>
      <c r="CD26" s="46">
        <f t="shared" si="39"/>
        <v>376170.63497882988</v>
      </c>
      <c r="CE26" s="46">
        <f t="shared" si="39"/>
        <v>405783.84158079553</v>
      </c>
      <c r="CF26" s="46">
        <f t="shared" si="39"/>
        <v>408200.82500679552</v>
      </c>
      <c r="CG26" s="46">
        <f t="shared" si="39"/>
        <v>410617.80843279551</v>
      </c>
      <c r="CH26" s="46">
        <f t="shared" si="39"/>
        <v>413034.79185879551</v>
      </c>
      <c r="CI26" s="46">
        <f t="shared" si="39"/>
        <v>415451.7752847955</v>
      </c>
      <c r="CJ26" s="46">
        <f t="shared" si="39"/>
        <v>417868.75871079549</v>
      </c>
      <c r="CK26" s="46">
        <f t="shared" si="39"/>
        <v>449573.98248014314</v>
      </c>
      <c r="CL26" s="46">
        <f t="shared" si="39"/>
        <v>514751.48092760239</v>
      </c>
      <c r="CM26" s="46">
        <f t="shared" si="39"/>
        <v>582020.99654244364</v>
      </c>
      <c r="CN26" s="46">
        <f t="shared" si="39"/>
        <v>649290.51215728489</v>
      </c>
      <c r="CO26" s="46">
        <f t="shared" si="39"/>
        <v>712375.99343736214</v>
      </c>
      <c r="CP26" s="46">
        <f t="shared" si="39"/>
        <v>779645.50905220339</v>
      </c>
      <c r="CQ26" s="46">
        <f t="shared" si="39"/>
        <v>809258.71565416909</v>
      </c>
      <c r="CR26" s="46">
        <f t="shared" si="39"/>
        <v>811675.69908016908</v>
      </c>
      <c r="CS26" s="46">
        <f t="shared" si="39"/>
        <v>814092.68250616908</v>
      </c>
      <c r="CT26" s="46">
        <f t="shared" si="39"/>
        <v>816509.66593216907</v>
      </c>
      <c r="CU26" s="46">
        <f t="shared" si="39"/>
        <v>818926.64935816906</v>
      </c>
      <c r="CV26" s="46">
        <f t="shared" si="39"/>
        <v>821343.63278416905</v>
      </c>
      <c r="CW26" s="46">
        <f t="shared" si="39"/>
        <v>853048.8565535167</v>
      </c>
      <c r="CX26" s="46">
        <f t="shared" si="39"/>
        <v>918226.35500097601</v>
      </c>
      <c r="CY26" s="46">
        <f t="shared" si="39"/>
        <v>985495.87061581726</v>
      </c>
      <c r="CZ26" s="46">
        <f t="shared" si="39"/>
        <v>1052765.3862306585</v>
      </c>
      <c r="DA26" s="46">
        <f t="shared" si="39"/>
        <v>1115850.8675107358</v>
      </c>
      <c r="DB26" s="46">
        <f t="shared" si="39"/>
        <v>1183120.3831255769</v>
      </c>
      <c r="DC26" s="46">
        <f t="shared" si="39"/>
        <v>1212733.5897275426</v>
      </c>
      <c r="DD26" s="46">
        <f t="shared" si="39"/>
        <v>1215150.5731535426</v>
      </c>
      <c r="DE26" s="46">
        <f t="shared" si="39"/>
        <v>1217567.5565795426</v>
      </c>
      <c r="DF26" s="46">
        <f t="shared" si="39"/>
        <v>1219984.5400055426</v>
      </c>
      <c r="DG26" s="46">
        <f t="shared" si="39"/>
        <v>1222401.5234315426</v>
      </c>
      <c r="DH26" s="46">
        <f t="shared" si="39"/>
        <v>1224818.5068575426</v>
      </c>
      <c r="DI26" s="46">
        <f t="shared" si="39"/>
        <v>1256523.7306268902</v>
      </c>
      <c r="DJ26" s="46">
        <f t="shared" si="39"/>
        <v>1321701.2290743494</v>
      </c>
      <c r="DK26" s="46">
        <f t="shared" si="39"/>
        <v>1388970.7446891905</v>
      </c>
      <c r="DL26" s="46">
        <f t="shared" si="39"/>
        <v>1456240.2603040317</v>
      </c>
      <c r="DM26" s="46">
        <f t="shared" si="39"/>
        <v>1519325.7415841089</v>
      </c>
      <c r="DN26" s="46">
        <f t="shared" si="39"/>
        <v>1586595.25719895</v>
      </c>
      <c r="DO26" s="46">
        <f t="shared" si="39"/>
        <v>1616208.4638009157</v>
      </c>
      <c r="DP26" s="46">
        <f t="shared" si="39"/>
        <v>1618625.4472269157</v>
      </c>
      <c r="DQ26" s="46">
        <f t="shared" si="39"/>
        <v>1621042.4306529157</v>
      </c>
      <c r="DR26" s="46">
        <f t="shared" si="39"/>
        <v>1623459.4140789157</v>
      </c>
      <c r="DS26" s="46">
        <f t="shared" si="39"/>
        <v>1625876.3975049157</v>
      </c>
      <c r="DT26" s="46">
        <f t="shared" si="39"/>
        <v>1628293.3809309157</v>
      </c>
      <c r="DU26" s="46">
        <f t="shared" si="39"/>
        <v>1659998.6047002634</v>
      </c>
      <c r="DV26" s="46">
        <f t="shared" si="39"/>
        <v>1725176.1031477225</v>
      </c>
      <c r="DW26" s="46">
        <f t="shared" si="39"/>
        <v>1792445.6187625637</v>
      </c>
      <c r="DX26" s="46">
        <f t="shared" si="39"/>
        <v>1859715.1343774048</v>
      </c>
      <c r="DY26" s="46">
        <f t="shared" si="39"/>
        <v>1922800.6156574821</v>
      </c>
      <c r="DZ26" s="46">
        <f t="shared" si="39"/>
        <v>1990070.1312723232</v>
      </c>
      <c r="EA26" s="46">
        <f t="shared" ref="EA26:GL26" si="40">DZ26+EA25</f>
        <v>2019683.3378742889</v>
      </c>
      <c r="EB26" s="46">
        <f t="shared" si="40"/>
        <v>2022100.3213002889</v>
      </c>
      <c r="EC26" s="46">
        <f t="shared" si="40"/>
        <v>2024517.3047262889</v>
      </c>
      <c r="ED26" s="46">
        <f t="shared" si="40"/>
        <v>2026934.2881522889</v>
      </c>
      <c r="EE26" s="46">
        <f t="shared" si="40"/>
        <v>2029351.2715782889</v>
      </c>
      <c r="EF26" s="46">
        <f t="shared" si="40"/>
        <v>2031768.2550042889</v>
      </c>
      <c r="EG26" s="46">
        <f t="shared" si="40"/>
        <v>2063473.4787736365</v>
      </c>
      <c r="EH26" s="46">
        <f t="shared" si="40"/>
        <v>2128650.9772210959</v>
      </c>
      <c r="EI26" s="46">
        <f t="shared" si="40"/>
        <v>2195920.4928359371</v>
      </c>
      <c r="EJ26" s="46">
        <f t="shared" si="40"/>
        <v>2263190.0084507782</v>
      </c>
      <c r="EK26" s="46">
        <f t="shared" si="40"/>
        <v>2326275.4897308555</v>
      </c>
      <c r="EL26" s="46">
        <f t="shared" si="40"/>
        <v>2393545.0053456966</v>
      </c>
      <c r="EM26" s="46">
        <f t="shared" si="40"/>
        <v>2423158.2119476623</v>
      </c>
      <c r="EN26" s="46">
        <f t="shared" si="40"/>
        <v>2425575.1953736623</v>
      </c>
      <c r="EO26" s="46">
        <f t="shared" si="40"/>
        <v>2427992.1787996623</v>
      </c>
      <c r="EP26" s="46">
        <f t="shared" si="40"/>
        <v>2430409.1622256623</v>
      </c>
      <c r="EQ26" s="46">
        <f t="shared" si="40"/>
        <v>2432826.1456516623</v>
      </c>
      <c r="ER26" s="46">
        <f t="shared" si="40"/>
        <v>2435243.1290776622</v>
      </c>
      <c r="ES26" s="46">
        <f t="shared" si="40"/>
        <v>2466948.3528470099</v>
      </c>
      <c r="ET26" s="46">
        <f t="shared" si="40"/>
        <v>2532125.8512944691</v>
      </c>
      <c r="EU26" s="46">
        <f t="shared" si="40"/>
        <v>2599395.3669093102</v>
      </c>
      <c r="EV26" s="46">
        <f t="shared" si="40"/>
        <v>2666664.8825241514</v>
      </c>
      <c r="EW26" s="46">
        <f t="shared" si="40"/>
        <v>2729750.3638042286</v>
      </c>
      <c r="EX26" s="46">
        <f t="shared" si="40"/>
        <v>2797019.8794190697</v>
      </c>
      <c r="EY26" s="46">
        <f t="shared" si="40"/>
        <v>2826633.0860210354</v>
      </c>
      <c r="EZ26" s="46">
        <f t="shared" si="40"/>
        <v>2829050.0694470354</v>
      </c>
      <c r="FA26" s="46">
        <f t="shared" si="40"/>
        <v>2831467.0528730354</v>
      </c>
      <c r="FB26" s="46">
        <f t="shared" si="40"/>
        <v>2833884.0362990354</v>
      </c>
      <c r="FC26" s="46">
        <f t="shared" si="40"/>
        <v>2836301.0197250354</v>
      </c>
      <c r="FD26" s="46">
        <f t="shared" si="40"/>
        <v>2838718.0031510354</v>
      </c>
      <c r="FE26" s="46">
        <f t="shared" si="40"/>
        <v>2870423.2269203831</v>
      </c>
      <c r="FF26" s="46">
        <f t="shared" si="40"/>
        <v>2935600.7253678422</v>
      </c>
      <c r="FG26" s="46">
        <f t="shared" si="40"/>
        <v>3002870.2409826834</v>
      </c>
      <c r="FH26" s="46">
        <f t="shared" si="40"/>
        <v>3070139.7565975245</v>
      </c>
      <c r="FI26" s="46">
        <f t="shared" si="40"/>
        <v>3133225.2378776018</v>
      </c>
      <c r="FJ26" s="46">
        <f t="shared" si="40"/>
        <v>3200494.7534924429</v>
      </c>
      <c r="FK26" s="46">
        <f t="shared" si="40"/>
        <v>3230107.9600944086</v>
      </c>
      <c r="FL26" s="46">
        <f t="shared" si="40"/>
        <v>3232524.9435204086</v>
      </c>
      <c r="FM26" s="46">
        <f t="shared" si="40"/>
        <v>3234941.9269464086</v>
      </c>
      <c r="FN26" s="46">
        <f t="shared" si="40"/>
        <v>3237358.9103724086</v>
      </c>
      <c r="FO26" s="46">
        <f t="shared" si="40"/>
        <v>3239775.8937984086</v>
      </c>
      <c r="FP26" s="46">
        <f t="shared" si="40"/>
        <v>3242192.8772244086</v>
      </c>
      <c r="FQ26" s="46">
        <f t="shared" si="40"/>
        <v>3273898.1009937562</v>
      </c>
      <c r="FR26" s="46">
        <f t="shared" si="40"/>
        <v>3339075.5994412154</v>
      </c>
      <c r="FS26" s="46">
        <f t="shared" si="40"/>
        <v>3406345.1150560565</v>
      </c>
      <c r="FT26" s="46">
        <f t="shared" si="40"/>
        <v>3473614.6306708977</v>
      </c>
      <c r="FU26" s="46">
        <f t="shared" si="40"/>
        <v>3536700.1119509749</v>
      </c>
      <c r="FV26" s="46">
        <f t="shared" si="40"/>
        <v>3603969.627565816</v>
      </c>
      <c r="FW26" s="46">
        <f t="shared" si="40"/>
        <v>3633582.8341677818</v>
      </c>
      <c r="FX26" s="46">
        <f t="shared" si="40"/>
        <v>3635999.8175937817</v>
      </c>
      <c r="FY26" s="46">
        <f t="shared" si="40"/>
        <v>3638416.8010197817</v>
      </c>
      <c r="FZ26" s="46">
        <f t="shared" si="40"/>
        <v>3640833.7844457817</v>
      </c>
      <c r="GA26" s="46">
        <f t="shared" si="40"/>
        <v>3643250.7678717817</v>
      </c>
      <c r="GB26" s="46">
        <f t="shared" si="40"/>
        <v>3645667.7512977817</v>
      </c>
      <c r="GC26" s="46">
        <f t="shared" si="40"/>
        <v>3677372.9750671294</v>
      </c>
      <c r="GD26" s="46">
        <f t="shared" si="40"/>
        <v>3742550.4735145885</v>
      </c>
      <c r="GE26" s="46">
        <f t="shared" si="40"/>
        <v>3809819.9891294297</v>
      </c>
      <c r="GF26" s="46">
        <f t="shared" si="40"/>
        <v>3877089.5047442708</v>
      </c>
      <c r="GG26" s="46">
        <f t="shared" si="40"/>
        <v>3940174.9860243481</v>
      </c>
      <c r="GH26" s="46">
        <f t="shared" si="40"/>
        <v>4007444.5016391892</v>
      </c>
      <c r="GI26" s="46">
        <f t="shared" si="40"/>
        <v>4037057.7082411549</v>
      </c>
      <c r="GJ26" s="46">
        <f t="shared" si="40"/>
        <v>4039474.6916671549</v>
      </c>
      <c r="GK26" s="46">
        <f t="shared" si="40"/>
        <v>4041891.6750931549</v>
      </c>
      <c r="GL26" s="46">
        <f t="shared" si="40"/>
        <v>4044308.6585191549</v>
      </c>
      <c r="GM26" s="46">
        <f t="shared" ref="GM26:IG26" si="41">GL26+GM25</f>
        <v>4046725.6419451549</v>
      </c>
      <c r="GN26" s="46">
        <f t="shared" si="41"/>
        <v>4049142.6253711549</v>
      </c>
      <c r="GO26" s="46">
        <f t="shared" si="41"/>
        <v>4080847.8491405025</v>
      </c>
      <c r="GP26" s="46">
        <f t="shared" si="41"/>
        <v>4146025.3475879617</v>
      </c>
      <c r="GQ26" s="46">
        <f t="shared" si="41"/>
        <v>4213294.8632028028</v>
      </c>
      <c r="GR26" s="46">
        <f t="shared" si="41"/>
        <v>4280564.378817644</v>
      </c>
      <c r="GS26" s="46">
        <f t="shared" si="41"/>
        <v>4343649.8600977212</v>
      </c>
      <c r="GT26" s="46">
        <f t="shared" si="41"/>
        <v>4410919.3757125624</v>
      </c>
      <c r="GU26" s="46">
        <f t="shared" si="41"/>
        <v>4440532.5823145276</v>
      </c>
      <c r="GV26" s="46">
        <f t="shared" si="41"/>
        <v>4442949.5657405276</v>
      </c>
      <c r="GW26" s="46">
        <f t="shared" si="41"/>
        <v>4445366.5491665276</v>
      </c>
      <c r="GX26" s="46">
        <f t="shared" si="41"/>
        <v>4447783.5325925276</v>
      </c>
      <c r="GY26" s="46">
        <f t="shared" si="41"/>
        <v>4450200.5160185276</v>
      </c>
      <c r="GZ26" s="46">
        <f t="shared" si="41"/>
        <v>4452617.4994445276</v>
      </c>
      <c r="HA26" s="46">
        <f t="shared" si="41"/>
        <v>4484322.7232138757</v>
      </c>
      <c r="HB26" s="46">
        <f t="shared" si="41"/>
        <v>4549500.2216613349</v>
      </c>
      <c r="HC26" s="46">
        <f t="shared" si="41"/>
        <v>4616769.737276176</v>
      </c>
      <c r="HD26" s="46">
        <f t="shared" si="41"/>
        <v>4684039.2528910171</v>
      </c>
      <c r="HE26" s="46">
        <f t="shared" si="41"/>
        <v>4747124.7341710944</v>
      </c>
      <c r="HF26" s="46">
        <f t="shared" si="41"/>
        <v>4814394.2497859355</v>
      </c>
      <c r="HG26" s="46">
        <f t="shared" si="41"/>
        <v>4844007.4563879007</v>
      </c>
      <c r="HH26" s="46">
        <f t="shared" si="41"/>
        <v>4846424.4398139007</v>
      </c>
      <c r="HI26" s="46">
        <f t="shared" si="41"/>
        <v>4848841.4232399007</v>
      </c>
      <c r="HJ26" s="46">
        <f t="shared" si="41"/>
        <v>4851258.4066659007</v>
      </c>
      <c r="HK26" s="46">
        <f t="shared" si="41"/>
        <v>4853675.3900919007</v>
      </c>
      <c r="HL26" s="46">
        <f t="shared" si="41"/>
        <v>4856092.3735179007</v>
      </c>
      <c r="HM26" s="46">
        <f t="shared" si="41"/>
        <v>4887797.5972872488</v>
      </c>
      <c r="HN26" s="46">
        <f t="shared" si="41"/>
        <v>4952975.095734708</v>
      </c>
      <c r="HO26" s="46">
        <f t="shared" si="41"/>
        <v>5020244.6113495491</v>
      </c>
      <c r="HP26" s="46">
        <f t="shared" si="41"/>
        <v>5087514.1269643903</v>
      </c>
      <c r="HQ26" s="46">
        <f t="shared" si="41"/>
        <v>5150599.6082444675</v>
      </c>
      <c r="HR26" s="46">
        <f t="shared" si="41"/>
        <v>5217869.1238593087</v>
      </c>
      <c r="HS26" s="46">
        <f t="shared" si="41"/>
        <v>5247482.3304612739</v>
      </c>
      <c r="HT26" s="46">
        <f t="shared" si="41"/>
        <v>5249899.3138872739</v>
      </c>
      <c r="HU26" s="46">
        <f t="shared" si="41"/>
        <v>5252316.2973132739</v>
      </c>
      <c r="HV26" s="46">
        <f t="shared" si="41"/>
        <v>5254733.2807392739</v>
      </c>
      <c r="HW26" s="46">
        <f t="shared" si="41"/>
        <v>5257150.2641652739</v>
      </c>
      <c r="HX26" s="46">
        <f t="shared" si="41"/>
        <v>5259567.2475912739</v>
      </c>
      <c r="HY26" s="46">
        <f t="shared" si="41"/>
        <v>5291272.471360622</v>
      </c>
      <c r="HZ26" s="46">
        <f t="shared" si="41"/>
        <v>5356449.9698080812</v>
      </c>
      <c r="IA26" s="46">
        <f t="shared" si="41"/>
        <v>5423719.4854229223</v>
      </c>
      <c r="IB26" s="46">
        <f t="shared" si="41"/>
        <v>5490989.0010377634</v>
      </c>
      <c r="IC26" s="46">
        <f t="shared" si="41"/>
        <v>5554074.4823178407</v>
      </c>
      <c r="ID26" s="46">
        <f t="shared" si="41"/>
        <v>5621343.9979326818</v>
      </c>
      <c r="IE26" s="46">
        <f t="shared" si="41"/>
        <v>5650957.2045346471</v>
      </c>
      <c r="IF26" s="46">
        <f t="shared" si="41"/>
        <v>5653374.187960647</v>
      </c>
      <c r="IG26" s="46">
        <f t="shared" si="41"/>
        <v>5655791.171386647</v>
      </c>
    </row>
    <row r="27" spans="1:241" ht="60" outlineLevel="1" x14ac:dyDescent="0.25">
      <c r="A27" s="57" t="s">
        <v>316</v>
      </c>
      <c r="B27" s="46">
        <f>B25/POWER((1+'Вхідні дані'!$B$13/12),B1)</f>
        <v>-41580.231575510203</v>
      </c>
      <c r="C27" s="46">
        <f>C25/POWER((1+'Вхідні дані'!$B$13/12),C1)</f>
        <v>1030.8167547788421</v>
      </c>
      <c r="D27" s="46">
        <f>D25/POWER((1+'Вхідні дані'!$B$13/12),D1)</f>
        <v>1009.7796781507026</v>
      </c>
      <c r="E27" s="46">
        <f>E25/POWER((1+'Вхідні дані'!$B$13/12),E1)</f>
        <v>-18019.544484223843</v>
      </c>
      <c r="F27" s="46">
        <f>F25/POWER((1+'Вхідні дані'!$B$13/12),F1)</f>
        <v>-4232.5409068139243</v>
      </c>
      <c r="G27" s="46">
        <f>G25/POWER((1+'Вхідні дані'!$B$13/12),G1)</f>
        <v>-3324.5753104538803</v>
      </c>
      <c r="H27" s="46">
        <f>H25/POWER((1+'Вхідні дані'!$B$13/12),H1)</f>
        <v>-2791.8078722223427</v>
      </c>
      <c r="I27" s="46">
        <f>I25/POWER((1+'Вхідні дані'!$B$13/12),I1)</f>
        <v>-4311.6226495134561</v>
      </c>
      <c r="J27" s="46">
        <f>J25/POWER((1+'Вхідні дані'!$B$13/12),J1)</f>
        <v>-2679.0192992920779</v>
      </c>
      <c r="K27" s="46">
        <f>K25/POWER((1+'Вхідні дані'!$B$13/12),K1)</f>
        <v>-16242.140826668663</v>
      </c>
      <c r="L27" s="46">
        <f>L25/POWER((1+'Вхідні дані'!$B$13/12),L1)</f>
        <v>-25545.027208609135</v>
      </c>
      <c r="M27" s="46">
        <f>M25/POWER((1+'Вхідні дані'!$B$13/12),M1)</f>
        <v>-25023.700122719154</v>
      </c>
      <c r="N27" s="46">
        <f>N25/POWER((1+'Вхідні дані'!$B$13/12),N1)</f>
        <v>-24513.012365112638</v>
      </c>
      <c r="O27" s="46">
        <f>O25/POWER((1+'Вхідні дані'!$B$13/12),O1)</f>
        <v>-24012.74680664096</v>
      </c>
      <c r="P27" s="46">
        <f>P25/POWER((1+'Вхідні дані'!$B$13/12),P1)</f>
        <v>-23522.690749362573</v>
      </c>
      <c r="Q27" s="46">
        <f>Q25/POWER((1+'Вхідні дані'!$B$13/12),Q1)</f>
        <v>-9004.0119689005423</v>
      </c>
      <c r="R27" s="46">
        <f>R25/POWER((1+'Вхідні дані'!$B$13/12),R1)</f>
        <v>6896.4534794692545</v>
      </c>
      <c r="S27" s="46">
        <f>S25/POWER((1+'Вхідні дані'!$B$13/12),S1)</f>
        <v>7717.95708817799</v>
      </c>
      <c r="T27" s="46">
        <f>T25/POWER((1+'Вхідні дані'!$B$13/12),T1)</f>
        <v>8104.963461018001</v>
      </c>
      <c r="U27" s="46">
        <f>U25/POWER((1+'Вхідні дані'!$B$13/12),U1)</f>
        <v>5169.4372946558715</v>
      </c>
      <c r="V27" s="46">
        <f>V25/POWER((1+'Вхідні дані'!$B$13/12),V1)</f>
        <v>7777.5242874575079</v>
      </c>
      <c r="W27" s="46">
        <f>W25/POWER((1+'Вхідні дані'!$B$13/12),W1)</f>
        <v>-7444.3703707232871</v>
      </c>
      <c r="X27" s="46">
        <f>X25/POWER((1+'Вхідні дані'!$B$13/12),X1)</f>
        <v>-19444.245189171324</v>
      </c>
      <c r="Y27" s="46">
        <f>Y25/POWER((1+'Вхідні дані'!$B$13/12),Y1)</f>
        <v>-19047.423858780076</v>
      </c>
      <c r="Z27" s="46">
        <f>Z25/POWER((1+'Вхідні дані'!$B$13/12),Z1)</f>
        <v>-18658.700922886605</v>
      </c>
      <c r="AA27" s="46">
        <f>AA25/POWER((1+'Вхідні дані'!$B$13/12),AA1)</f>
        <v>-18277.91110813382</v>
      </c>
      <c r="AB27" s="46">
        <f>AB25/POWER((1+'Вхідні дані'!$B$13/12),AB1)</f>
        <v>-17904.892514090276</v>
      </c>
      <c r="AC27" s="46">
        <f>AC25/POWER((1+'Вхідні дані'!$B$13/12),AC1)</f>
        <v>-1097.3713910957638</v>
      </c>
      <c r="AD27" s="46">
        <f>AD25/POWER((1+'Вхідні дані'!$B$13/12),AD1)</f>
        <v>17332.523123808729</v>
      </c>
      <c r="AE27" s="46">
        <f>AE25/POWER((1+'Вхідні дані'!$B$13/12),AE1)</f>
        <v>18105.787907836657</v>
      </c>
      <c r="AF27" s="46">
        <f>AF25/POWER((1+'Вхідні дані'!$B$13/12),AF1)</f>
        <v>17736.282032166524</v>
      </c>
      <c r="AG27" s="46">
        <f>AG25/POWER((1+'Вхідні дані'!$B$13/12),AG1)</f>
        <v>14129.938449442945</v>
      </c>
      <c r="AH27" s="46">
        <f>AH25/POWER((1+'Вхідні дані'!$B$13/12),AH1)</f>
        <v>17019.739192882833</v>
      </c>
      <c r="AI27" s="46">
        <f>AI25/POWER((1+'Вхідні дані'!$B$13/12),AI1)</f>
        <v>-969.67138073925662</v>
      </c>
      <c r="AJ27" s="46">
        <f>AJ25/POWER((1+'Вхідні дані'!$B$13/12),AJ1)</f>
        <v>-15182.139479091795</v>
      </c>
      <c r="AK27" s="46">
        <f>AK25/POWER((1+'Вхідні дані'!$B$13/12),AK1)</f>
        <v>-14872.299897885838</v>
      </c>
      <c r="AL27" s="46">
        <f>AL25/POWER((1+'Вхідні дані'!$B$13/12),AL1)</f>
        <v>-14568.78357343919</v>
      </c>
      <c r="AM27" s="46">
        <f>AM25/POWER((1+'Вхідні дані'!$B$13/12),AM1)</f>
        <v>-14271.461459695534</v>
      </c>
      <c r="AN27" s="46">
        <f>AN25/POWER((1+'Вхідні дані'!$B$13/12),AN1)</f>
        <v>-13980.207144191549</v>
      </c>
      <c r="AO27" s="46">
        <f>AO25/POWER((1+'Вхідні дані'!$B$13/12),AO1)</f>
        <v>-856.83169276528281</v>
      </c>
      <c r="AP27" s="46">
        <f>AP25/POWER((1+'Вхідні дані'!$B$13/12),AP1)</f>
        <v>13533.298980245101</v>
      </c>
      <c r="AQ27" s="46">
        <f>AQ25/POWER((1+'Вхідні дані'!$B$13/12),AQ1)</f>
        <v>14137.067020154394</v>
      </c>
      <c r="AR27" s="46">
        <f>AR25/POWER((1+'Вхідні дані'!$B$13/12),AR1)</f>
        <v>13848.555448314513</v>
      </c>
      <c r="AS27" s="46">
        <f>AS25/POWER((1+'Вхідні дані'!$B$13/12),AS1)</f>
        <v>11032.708870071976</v>
      </c>
      <c r="AT27" s="46">
        <f>AT25/POWER((1+'Вхідні дані'!$B$13/12),AT1)</f>
        <v>13289.076115333877</v>
      </c>
      <c r="AU27" s="46">
        <f>AU25/POWER((1+'Вхідні дані'!$B$13/12),AU1)</f>
        <v>-757.12304633278109</v>
      </c>
      <c r="AV27" s="46">
        <f>AV25/POWER((1+'Вхідні дані'!$B$13/12),AV1)</f>
        <v>-11854.271375417735</v>
      </c>
      <c r="AW27" s="46">
        <f>AW25/POWER((1+'Вхідні дані'!$B$13/12),AW1)</f>
        <v>-11612.347469796965</v>
      </c>
      <c r="AX27" s="46">
        <f>AX25/POWER((1+'Вхідні дані'!$B$13/12),AX1)</f>
        <v>-11375.360786739884</v>
      </c>
      <c r="AY27" s="46">
        <f>AY25/POWER((1+'Вхідні дані'!$B$13/12),AY1)</f>
        <v>-11143.210566602338</v>
      </c>
      <c r="AZ27" s="46">
        <f>AZ25/POWER((1+'Вхідні дані'!$B$13/12),AZ1)</f>
        <v>-10915.798106059434</v>
      </c>
      <c r="BA27" s="46">
        <f>BA25/POWER((1+'Вхідні дані'!$B$13/12),BA1)</f>
        <v>-669.017395281223</v>
      </c>
      <c r="BB27" s="46">
        <f>BB25/POWER((1+'Вхідні дані'!$B$13/12),BB1)</f>
        <v>10566.850537595401</v>
      </c>
      <c r="BC27" s="46">
        <f>BC25/POWER((1+'Вхідні дані'!$B$13/12),BC1)</f>
        <v>11038.274884786091</v>
      </c>
      <c r="BD27" s="46">
        <f>BD25/POWER((1+'Вхідні дані'!$B$13/12),BD1)</f>
        <v>10813.003968770052</v>
      </c>
      <c r="BE27" s="46">
        <f>BE25/POWER((1+'Вхідні дані'!$B$13/12),BE1)</f>
        <v>9273.6970812730306</v>
      </c>
      <c r="BF27" s="46">
        <f>BF25/POWER((1+'Вхідні дані'!$B$13/12),BF1)</f>
        <v>10376.16040984848</v>
      </c>
      <c r="BG27" s="46">
        <f>BG25/POWER((1+'Вхідні дані'!$B$13/12),BG1)</f>
        <v>-1223.8448956398911</v>
      </c>
      <c r="BH27" s="46">
        <f>BH25/POWER((1+'Вхідні дані'!$B$13/12),BH1)</f>
        <v>-9255.8594943467397</v>
      </c>
      <c r="BI27" s="46">
        <f>BI25/POWER((1+'Вхідні дані'!$B$13/12),BI1)</f>
        <v>-9066.9644026253791</v>
      </c>
      <c r="BJ27" s="46">
        <f>BJ25/POWER((1+'Вхідні дані'!$B$13/12),BJ1)</f>
        <v>-8881.92431277588</v>
      </c>
      <c r="BK27" s="46">
        <f>BK25/POWER((1+'Вхідні дані'!$B$13/12),BK1)</f>
        <v>-8700.6605512906608</v>
      </c>
      <c r="BL27" s="46">
        <f>BL25/POWER((1+'Вхідні дані'!$B$13/12),BL1)</f>
        <v>-8523.0960502439139</v>
      </c>
      <c r="BM27" s="46">
        <f>BM25/POWER((1+'Вхідні дані'!$B$13/12),BM1)</f>
        <v>8472.6817329197438</v>
      </c>
      <c r="BN27" s="46">
        <f>BN25/POWER((1+'Вхідні дані'!$B$13/12),BN1)</f>
        <v>17062.116992242001</v>
      </c>
      <c r="BO27" s="46">
        <f>BO25/POWER((1+'Вхідні дані'!$B$13/12),BO1)</f>
        <v>17250.38075554866</v>
      </c>
      <c r="BP27" s="46">
        <f>BP25/POWER((1+'Вхідні дані'!$B$13/12),BP1)</f>
        <v>16898.33216870073</v>
      </c>
      <c r="BQ27" s="46">
        <f>BQ25/POWER((1+'Вхідні дані'!$B$13/12),BQ1)</f>
        <v>15523.87439785833</v>
      </c>
      <c r="BR27" s="46">
        <f>BR25/POWER((1+'Вхідні дані'!$B$13/12),BR1)</f>
        <v>16215.642364300911</v>
      </c>
      <c r="BS27" s="46">
        <f>BS25/POWER((1+'Вхідні дані'!$B$13/12),BS1)</f>
        <v>6992.7250259493758</v>
      </c>
      <c r="BT27" s="46">
        <f>BT25/POWER((1+'Вхідні дані'!$B$13/12),BT1)</f>
        <v>559.08757916794252</v>
      </c>
      <c r="BU27" s="46">
        <f>BU25/POWER((1+'Вхідні дані'!$B$13/12),BU1)</f>
        <v>547.67762857267849</v>
      </c>
      <c r="BV27" s="46">
        <f>BV25/POWER((1+'Вхідні дані'!$B$13/12),BV1)</f>
        <v>536.50053411201156</v>
      </c>
      <c r="BW27" s="46">
        <f>BW25/POWER((1+'Вхідні дані'!$B$13/12),BW1)</f>
        <v>525.55154361992982</v>
      </c>
      <c r="BX27" s="46">
        <f>BX25/POWER((1+'Вхідні дані'!$B$13/12),BX1)</f>
        <v>514.82600191340077</v>
      </c>
      <c r="BY27" s="46">
        <f>BY25/POWER((1+'Вхідні дані'!$B$13/12),BY1)</f>
        <v>6615.5016345287504</v>
      </c>
      <c r="BZ27" s="46">
        <f>BZ25/POWER((1+'Вхідні дані'!$B$13/12),BZ1)</f>
        <v>13322.164859814748</v>
      </c>
      <c r="CA27" s="46">
        <f>CA25/POWER((1+'Вхідні дані'!$B$13/12),CA1)</f>
        <v>13469.161911413963</v>
      </c>
      <c r="CB27" s="46">
        <f>CB25/POWER((1+'Вхідні дані'!$B$13/12),CB1)</f>
        <v>13194.281056078986</v>
      </c>
      <c r="CC27" s="46">
        <f>CC25/POWER((1+'Вхідні дані'!$B$13/12),CC1)</f>
        <v>12121.099280081218</v>
      </c>
      <c r="CD27" s="46">
        <f>CD25/POWER((1+'Вхідні дані'!$B$13/12),CD1)</f>
        <v>12661.234299544351</v>
      </c>
      <c r="CE27" s="46">
        <f>CE25/POWER((1+'Вхідні дані'!$B$13/12),CE1)</f>
        <v>5459.9458940182058</v>
      </c>
      <c r="CF27" s="46">
        <f>CF25/POWER((1+'Вхідні дані'!$B$13/12),CF1)</f>
        <v>436.53767607716668</v>
      </c>
      <c r="CG27" s="46">
        <f>CG25/POWER((1+'Вхідні дані'!$B$13/12),CG1)</f>
        <v>427.62874391232663</v>
      </c>
      <c r="CH27" s="46">
        <f>CH25/POWER((1+'Вхідні дані'!$B$13/12),CH1)</f>
        <v>418.90162668962608</v>
      </c>
      <c r="CI27" s="46">
        <f>CI25/POWER((1+'Вхідні дані'!$B$13/12),CI1)</f>
        <v>410.35261390004189</v>
      </c>
      <c r="CJ27" s="46">
        <f>CJ25/POWER((1+'Вхідні дані'!$B$13/12),CJ1)</f>
        <v>401.97807075922481</v>
      </c>
      <c r="CK27" s="46">
        <f>CK25/POWER((1+'Вхідні дані'!$B$13/12),CK1)</f>
        <v>5165.408456971616</v>
      </c>
      <c r="CL27" s="46">
        <f>CL25/POWER((1+'Вхідні дані'!$B$13/12),CL1)</f>
        <v>10401.996225484891</v>
      </c>
      <c r="CM27" s="46">
        <f>CM25/POWER((1+'Вхідні дані'!$B$13/12),CM1)</f>
        <v>10516.772074003678</v>
      </c>
      <c r="CN27" s="46">
        <f>CN25/POWER((1+'Вхідні дані'!$B$13/12),CN1)</f>
        <v>10302.144072493402</v>
      </c>
      <c r="CO27" s="46">
        <f>CO25/POWER((1+'Вхідні дані'!$B$13/12),CO1)</f>
        <v>9464.1997218075048</v>
      </c>
      <c r="CP27" s="46">
        <f>CP25/POWER((1+'Вхідні дані'!$B$13/12),CP1)</f>
        <v>9885.9391682735532</v>
      </c>
      <c r="CQ27" s="46">
        <f>CQ25/POWER((1+'Вхідні дані'!$B$13/12),CQ1)</f>
        <v>4263.1462062329447</v>
      </c>
      <c r="CR27" s="46">
        <f>CR25/POWER((1+'Вхідні дані'!$B$13/12),CR1)</f>
        <v>340.85025268931975</v>
      </c>
      <c r="CS27" s="46">
        <f>CS25/POWER((1+'Вхідні дані'!$B$13/12),CS1)</f>
        <v>333.89412508341536</v>
      </c>
      <c r="CT27" s="46">
        <f>CT25/POWER((1+'Вхідні дані'!$B$13/12),CT1)</f>
        <v>327.07995926538649</v>
      </c>
      <c r="CU27" s="46">
        <f>CU25/POWER((1+'Вхідні дані'!$B$13/12),CU1)</f>
        <v>320.40485805588884</v>
      </c>
      <c r="CV27" s="46">
        <f>CV25/POWER((1+'Вхідні дані'!$B$13/12),CV1)</f>
        <v>313.86598340168712</v>
      </c>
      <c r="CW27" s="46">
        <f>CW25/POWER((1+'Вхідні дані'!$B$13/12),CW1)</f>
        <v>4033.1702720914709</v>
      </c>
      <c r="CX27" s="46">
        <f>CX25/POWER((1+'Вхідні дані'!$B$13/12),CX1)</f>
        <v>8121.9176172622829</v>
      </c>
      <c r="CY27" s="46">
        <f>CY25/POWER((1+'Вхідні дані'!$B$13/12),CY1)</f>
        <v>8211.5350297198147</v>
      </c>
      <c r="CZ27" s="46">
        <f>CZ25/POWER((1+'Вхідні дані'!$B$13/12),CZ1)</f>
        <v>8043.9526821745158</v>
      </c>
      <c r="DA27" s="46">
        <f>DA25/POWER((1+'Вхідні дані'!$B$13/12),DA1)</f>
        <v>7389.6825943381837</v>
      </c>
      <c r="DB27" s="46">
        <f>DB25/POWER((1+'Вхідні дані'!$B$13/12),DB1)</f>
        <v>7718.9783339150708</v>
      </c>
      <c r="DC27" s="46">
        <f>DC25/POWER((1+'Вхідні дані'!$B$13/12),DC1)</f>
        <v>3328.680526968194</v>
      </c>
      <c r="DD27" s="46">
        <f>DD25/POWER((1+'Вхідні дані'!$B$13/12),DD1)</f>
        <v>266.13715407656184</v>
      </c>
      <c r="DE27" s="46">
        <f>DE25/POWER((1+'Вхідні дані'!$B$13/12),DE1)</f>
        <v>260.70578358520351</v>
      </c>
      <c r="DF27" s="46">
        <f>DF25/POWER((1+'Вхідні дані'!$B$13/12),DF1)</f>
        <v>255.38525738958705</v>
      </c>
      <c r="DG27" s="46">
        <f>DG25/POWER((1+'Вхідні дані'!$B$13/12),DG1)</f>
        <v>250.17331336122822</v>
      </c>
      <c r="DH27" s="46">
        <f>DH25/POWER((1+'Вхідні дані'!$B$13/12),DH1)</f>
        <v>245.06773553752973</v>
      </c>
      <c r="DI27" s="46">
        <f>DI25/POWER((1+'Вхідні дані'!$B$13/12),DI1)</f>
        <v>3149.1144561332753</v>
      </c>
      <c r="DJ27" s="46">
        <f>DJ25/POWER((1+'Вхідні дані'!$B$13/12),DJ1)</f>
        <v>6341.6236991107398</v>
      </c>
      <c r="DK27" s="46">
        <f>DK25/POWER((1+'Вхідні дані'!$B$13/12),DK1)</f>
        <v>6411.597310451707</v>
      </c>
      <c r="DL27" s="46">
        <f>DL25/POWER((1+'Вхідні дані'!$B$13/12),DL1)</f>
        <v>6280.7483857486122</v>
      </c>
      <c r="DM27" s="46">
        <f>DM25/POWER((1+'Вхідні дані'!$B$13/12),DM1)</f>
        <v>5769.8918503629793</v>
      </c>
      <c r="DN27" s="46">
        <f>DN25/POWER((1+'Вхідні дані'!$B$13/12),DN1)</f>
        <v>6027.0071973197846</v>
      </c>
      <c r="DO27" s="46">
        <f>DO25/POWER((1+'Вхідні дані'!$B$13/12),DO1)</f>
        <v>2599.0462242222761</v>
      </c>
      <c r="DP27" s="46">
        <f>DP25/POWER((1+'Вхідні дані'!$B$13/12),DP1)</f>
        <v>207.80088681504148</v>
      </c>
      <c r="DQ27" s="46">
        <f>DQ25/POWER((1+'Вхідні дані'!$B$13/12),DQ1)</f>
        <v>203.56005239024472</v>
      </c>
      <c r="DR27" s="46">
        <f>DR25/POWER((1+'Вхідні дані'!$B$13/12),DR1)</f>
        <v>199.40576560677033</v>
      </c>
      <c r="DS27" s="46">
        <f>DS25/POWER((1+'Вхідні дані'!$B$13/12),DS1)</f>
        <v>195.33626018622402</v>
      </c>
      <c r="DT27" s="46">
        <f>DT25/POWER((1+'Вхідні дані'!$B$13/12),DT1)</f>
        <v>191.34980589670928</v>
      </c>
      <c r="DU27" s="46">
        <f>DU25/POWER((1+'Вхідні дані'!$B$13/12),DU1)</f>
        <v>2458.8403634853184</v>
      </c>
      <c r="DV27" s="46">
        <f>DV25/POWER((1+'Вхідні дані'!$B$13/12),DV1)</f>
        <v>4951.5635390893003</v>
      </c>
      <c r="DW27" s="46">
        <f>DW25/POWER((1+'Вхідні дані'!$B$13/12),DW1)</f>
        <v>5006.1991969355595</v>
      </c>
      <c r="DX27" s="46">
        <f>DX25/POWER((1+'Вхідні дані'!$B$13/12),DX1)</f>
        <v>4904.0318663858552</v>
      </c>
      <c r="DY27" s="46">
        <f>DY25/POWER((1+'Вхідні дані'!$B$13/12),DY1)</f>
        <v>4505.1531699605703</v>
      </c>
      <c r="DZ27" s="46">
        <f>DZ25/POWER((1+'Вхідні дані'!$B$13/12),DZ1)</f>
        <v>4705.9097959820956</v>
      </c>
      <c r="EA27" s="46">
        <f>EA25/POWER((1+'Вхідні дані'!$B$13/12),EA1)</f>
        <v>2029.3450275315702</v>
      </c>
      <c r="EB27" s="46">
        <f>EB25/POWER((1+'Вхідні дані'!$B$13/12),EB1)</f>
        <v>162.25171081785666</v>
      </c>
      <c r="EC27" s="46">
        <f>EC25/POWER((1+'Вхідні дані'!$B$13/12),EC1)</f>
        <v>158.94045141341061</v>
      </c>
      <c r="ED27" s="46">
        <f>ED25/POWER((1+'Вхідні дані'!$B$13/12),ED1)</f>
        <v>155.69676873150425</v>
      </c>
      <c r="EE27" s="46">
        <f>EE25/POWER((1+'Вхідні дані'!$B$13/12),EE1)</f>
        <v>152.51928365535113</v>
      </c>
      <c r="EF27" s="46">
        <f>EF25/POWER((1+'Вхідні дані'!$B$13/12),EF1)</f>
        <v>149.40664521340526</v>
      </c>
      <c r="EG27" s="46">
        <f>EG25/POWER((1+'Вхідні дані'!$B$13/12),EG1)</f>
        <v>1919.8717662768688</v>
      </c>
      <c r="EH27" s="46">
        <f>EH25/POWER((1+'Вхідні дані'!$B$13/12),EH1)</f>
        <v>3866.1993591762034</v>
      </c>
      <c r="EI27" s="46">
        <f>EI25/POWER((1+'Вхідні дані'!$B$13/12),EI1)</f>
        <v>3908.8590854799932</v>
      </c>
      <c r="EJ27" s="46">
        <f>EJ25/POWER((1+'Вхідні дані'!$B$13/12),EJ1)</f>
        <v>3829.0864510824431</v>
      </c>
      <c r="EK27" s="46">
        <f>EK25/POWER((1+'Вхідні дані'!$B$13/12),EK1)</f>
        <v>3517.6404707705142</v>
      </c>
      <c r="EL27" s="46">
        <f>EL25/POWER((1+'Вхідні дані'!$B$13/12),EL1)</f>
        <v>3674.39199637399</v>
      </c>
      <c r="EM27" s="46">
        <f>EM25/POWER((1+'Вхідні дані'!$B$13/12),EM1)</f>
        <v>1584.5201991355223</v>
      </c>
      <c r="EN27" s="46">
        <f>EN25/POWER((1+'Вхідні дані'!$B$13/12),EN1)</f>
        <v>126.6867435784967</v>
      </c>
      <c r="EO27" s="46">
        <f>EO25/POWER((1+'Вхідні дані'!$B$13/12),EO1)</f>
        <v>124.1012998319968</v>
      </c>
      <c r="EP27" s="46">
        <f>EP25/POWER((1+'Вхідні дані'!$B$13/12),EP1)</f>
        <v>121.56862024358871</v>
      </c>
      <c r="EQ27" s="46">
        <f>EQ25/POWER((1+'Вхідні дані'!$B$13/12),EQ1)</f>
        <v>119.08762799371958</v>
      </c>
      <c r="ER27" s="46">
        <f>ER25/POWER((1+'Вхідні дані'!$B$13/12),ER1)</f>
        <v>116.65726823874571</v>
      </c>
      <c r="ES27" s="46">
        <f>ES25/POWER((1+'Вхідні дані'!$B$13/12),ES1)</f>
        <v>1499.0430666765299</v>
      </c>
      <c r="ET27" s="46">
        <f>ET25/POWER((1+'Вхідні дані'!$B$13/12),ET1)</f>
        <v>3018.7429418796573</v>
      </c>
      <c r="EU27" s="46">
        <f>EU25/POWER((1+'Вхідні дані'!$B$13/12),EU1)</f>
        <v>3052.0518159749458</v>
      </c>
      <c r="EV27" s="46">
        <f>EV25/POWER((1+'Вхідні дані'!$B$13/12),EV1)</f>
        <v>2989.7650442203553</v>
      </c>
      <c r="EW27" s="46">
        <f>EW25/POWER((1+'Вхідні дані'!$B$13/12),EW1)</f>
        <v>2746.586856160297</v>
      </c>
      <c r="EX27" s="46">
        <f>EX25/POWER((1+'Вхідні дані'!$B$13/12),EX1)</f>
        <v>2868.9790345204915</v>
      </c>
      <c r="EY27" s="46">
        <f>EY25/POWER((1+'Вхідні дані'!$B$13/12),EY1)</f>
        <v>1237.1993068731219</v>
      </c>
      <c r="EZ27" s="46">
        <f>EZ25/POWER((1+'Вхідні дані'!$B$13/12),EZ1)</f>
        <v>98.917483936677513</v>
      </c>
      <c r="FA27" s="46">
        <f>FA25/POWER((1+'Вхідні дані'!$B$13/12),FA1)</f>
        <v>96.898759774704516</v>
      </c>
      <c r="FB27" s="46">
        <f>FB25/POWER((1+'Вхідні дані'!$B$13/12),FB1)</f>
        <v>94.921234065016662</v>
      </c>
      <c r="FC27" s="46">
        <f>FC25/POWER((1+'Вхідні дані'!$B$13/12),FC1)</f>
        <v>92.984066022873478</v>
      </c>
      <c r="FD27" s="46">
        <f>FD25/POWER((1+'Вхідні дані'!$B$13/12),FD1)</f>
        <v>91.086432022406697</v>
      </c>
      <c r="FE27" s="46">
        <f>FE25/POWER((1+'Вхідні дані'!$B$13/12),FE1)</f>
        <v>1170.4584416639163</v>
      </c>
      <c r="FF27" s="46">
        <f>FF25/POWER((1+'Вхідні дані'!$B$13/12),FF1)</f>
        <v>2357.0457968028782</v>
      </c>
      <c r="FG27" s="46">
        <f>FG25/POWER((1+'Вхідні дані'!$B$13/12),FG1)</f>
        <v>2383.0534904668007</v>
      </c>
      <c r="FH27" s="46">
        <f>FH25/POWER((1+'Вхідні дані'!$B$13/12),FH1)</f>
        <v>2334.4197457633973</v>
      </c>
      <c r="FI27" s="46">
        <f>FI25/POWER((1+'Вхідні дані'!$B$13/12),FI1)</f>
        <v>2144.5453056150741</v>
      </c>
      <c r="FJ27" s="46">
        <f>FJ25/POWER((1+'Вхідні дані'!$B$13/12),FJ1)</f>
        <v>2240.1095769424687</v>
      </c>
      <c r="FK27" s="46">
        <f>FK25/POWER((1+'Вхідні дані'!$B$13/12),FK1)</f>
        <v>966.00985317980019</v>
      </c>
      <c r="FL27" s="46">
        <f>FL25/POWER((1+'Вхідні дані'!$B$13/12),FL1)</f>
        <v>77.235141988633956</v>
      </c>
      <c r="FM27" s="46">
        <f>FM25/POWER((1+'Вхідні дані'!$B$13/12),FM1)</f>
        <v>75.658914601110823</v>
      </c>
      <c r="FN27" s="46">
        <f>FN25/POWER((1+'Вхідні дані'!$B$13/12),FN1)</f>
        <v>74.114855119455498</v>
      </c>
      <c r="FO27" s="46">
        <f>FO25/POWER((1+'Вхідні дані'!$B$13/12),FO1)</f>
        <v>72.602307055793133</v>
      </c>
      <c r="FP27" s="46">
        <f>FP25/POWER((1+'Вхідні дані'!$B$13/12),FP1)</f>
        <v>71.120627319960661</v>
      </c>
      <c r="FQ27" s="46">
        <f>FQ25/POWER((1+'Вхідні дані'!$B$13/12),FQ1)</f>
        <v>913.89833562263004</v>
      </c>
      <c r="FR27" s="46">
        <f>FR25/POWER((1+'Вхідні дані'!$B$13/12),FR1)</f>
        <v>1840.3901873031987</v>
      </c>
      <c r="FS27" s="46">
        <f>FS25/POWER((1+'Вхідні дані'!$B$13/12),FS1)</f>
        <v>1860.6970919371249</v>
      </c>
      <c r="FT27" s="46">
        <f>FT25/POWER((1+'Вхідні дані'!$B$13/12),FT1)</f>
        <v>1822.7236818975919</v>
      </c>
      <c r="FU27" s="46">
        <f>FU25/POWER((1+'Вхідні дані'!$B$13/12),FU1)</f>
        <v>1674.4690077870378</v>
      </c>
      <c r="FV27" s="46">
        <f>FV25/POWER((1+'Вхідні дані'!$B$13/12),FV1)</f>
        <v>1749.0859488096844</v>
      </c>
      <c r="FW27" s="46">
        <f>FW25/POWER((1+'Вхідні дані'!$B$13/12),FW1)</f>
        <v>754.26411189879423</v>
      </c>
      <c r="FX27" s="46">
        <f>FX25/POWER((1+'Вхідні дані'!$B$13/12),FX1)</f>
        <v>60.305488176621438</v>
      </c>
      <c r="FY27" s="46">
        <f>FY25/POWER((1+'Вхідні дані'!$B$13/12),FY1)</f>
        <v>59.074763928118976</v>
      </c>
      <c r="FZ27" s="46">
        <f>FZ25/POWER((1+'Вхідні дані'!$B$13/12),FZ1)</f>
        <v>57.869156501014501</v>
      </c>
      <c r="GA27" s="46">
        <f>GA25/POWER((1+'Вхідні дані'!$B$13/12),GA1)</f>
        <v>56.688153307116252</v>
      </c>
      <c r="GB27" s="46">
        <f>GB25/POWER((1+'Вхідні дані'!$B$13/12),GB1)</f>
        <v>55.531252219215936</v>
      </c>
      <c r="GC27" s="46">
        <f>GC25/POWER((1+'Вхідні дані'!$B$13/12),GC1)</f>
        <v>713.57524378779613</v>
      </c>
      <c r="GD27" s="46">
        <f>GD25/POWER((1+'Вхідні дані'!$B$13/12),GD1)</f>
        <v>1436.9835520871575</v>
      </c>
      <c r="GE27" s="46">
        <f>GE25/POWER((1+'Вхідні дані'!$B$13/12),GE1)</f>
        <v>1452.8392592921136</v>
      </c>
      <c r="GF27" s="46">
        <f>GF25/POWER((1+'Вхідні дані'!$B$13/12),GF1)</f>
        <v>1423.189478490234</v>
      </c>
      <c r="GG27" s="46">
        <f>GG25/POWER((1+'Вхідні дані'!$B$13/12),GG1)</f>
        <v>1307.4316736037149</v>
      </c>
      <c r="GH27" s="46">
        <f>GH25/POWER((1+'Вхідні дані'!$B$13/12),GH1)</f>
        <v>1365.6928606586835</v>
      </c>
      <c r="GI27" s="46">
        <f>GI25/POWER((1+'Вхідні дані'!$B$13/12),GI1)</f>
        <v>588.93224393704668</v>
      </c>
      <c r="GJ27" s="46">
        <f>GJ25/POWER((1+'Вхідні дані'!$B$13/12),GJ1)</f>
        <v>47.086751064118182</v>
      </c>
      <c r="GK27" s="46">
        <f>GK25/POWER((1+'Вхідні дані'!$B$13/12),GK1)</f>
        <v>46.125796960768831</v>
      </c>
      <c r="GL27" s="46">
        <f>GL25/POWER((1+'Вхідні дані'!$B$13/12),GL1)</f>
        <v>45.184454165651104</v>
      </c>
      <c r="GM27" s="46">
        <f>GM25/POWER((1+'Вхідні дані'!$B$13/12),GM1)</f>
        <v>44.262322447984765</v>
      </c>
      <c r="GN27" s="46">
        <f>GN25/POWER((1+'Вхідні дані'!$B$13/12),GN1)</f>
        <v>43.359009744964673</v>
      </c>
      <c r="GO27" s="46">
        <f>GO25/POWER((1+'Вхідні дані'!$B$13/12),GO1)</f>
        <v>557.16222330124583</v>
      </c>
      <c r="GP27" s="46">
        <f>GP25/POWER((1+'Вхідні дані'!$B$13/12),GP1)</f>
        <v>1122.002140206388</v>
      </c>
      <c r="GQ27" s="46">
        <f>GQ25/POWER((1+'Вхідні дані'!$B$13/12),GQ1)</f>
        <v>1134.3823357852498</v>
      </c>
      <c r="GR27" s="46">
        <f>GR25/POWER((1+'Вхідні дані'!$B$13/12),GR1)</f>
        <v>1111.2316758712652</v>
      </c>
      <c r="GS27" s="46">
        <f>GS25/POWER((1+'Вхідні дані'!$B$13/12),GS1)</f>
        <v>1020.8475482035396</v>
      </c>
      <c r="GT27" s="46">
        <f>GT25/POWER((1+'Вхідні дані'!$B$13/12),GT1)</f>
        <v>1066.3381012942089</v>
      </c>
      <c r="GU27" s="46">
        <f>GU25/POWER((1+'Вхідні дані'!$B$13/12),GU1)</f>
        <v>459.84050212276782</v>
      </c>
      <c r="GV27" s="46">
        <f>GV25/POWER((1+'Вхідні дані'!$B$13/12),GV1)</f>
        <v>36.765511611159788</v>
      </c>
      <c r="GW27" s="46">
        <f>GW25/POWER((1+'Вхідні дані'!$B$13/12),GW1)</f>
        <v>36.01519504766673</v>
      </c>
      <c r="GX27" s="46">
        <f>GX25/POWER((1+'Вхідні дані'!$B$13/12),GX1)</f>
        <v>35.280191067102095</v>
      </c>
      <c r="GY27" s="46">
        <f>GY25/POWER((1+'Вхідні дані'!$B$13/12),GY1)</f>
        <v>34.560187167773492</v>
      </c>
      <c r="GZ27" s="46">
        <f>GZ25/POWER((1+'Вхідні дані'!$B$13/12),GZ1)</f>
        <v>33.854877225574043</v>
      </c>
      <c r="HA27" s="46">
        <f>HA25/POWER((1+'Вхідні дані'!$B$13/12),HA1)</f>
        <v>435.03435100433967</v>
      </c>
      <c r="HB27" s="46">
        <f>HB25/POWER((1+'Вхідні дані'!$B$13/12),HB1)</f>
        <v>876.06347393415376</v>
      </c>
      <c r="HC27" s="46">
        <f>HC25/POWER((1+'Вхідні дані'!$B$13/12),HC1)</f>
        <v>885.72997701658733</v>
      </c>
      <c r="HD27" s="46">
        <f>HD25/POWER((1+'Вхідні дані'!$B$13/12),HD1)</f>
        <v>867.65385503665709</v>
      </c>
      <c r="HE27" s="46">
        <f>HE25/POWER((1+'Вхідні дані'!$B$13/12),HE1)</f>
        <v>797.08158958756383</v>
      </c>
      <c r="HF27" s="46">
        <f>HF25/POWER((1+'Вхідні дані'!$B$13/12),HF1)</f>
        <v>832.60078384192343</v>
      </c>
      <c r="HG27" s="46">
        <f>HG25/POWER((1+'Вхідні дані'!$B$13/12),HG1)</f>
        <v>359.04518655480899</v>
      </c>
      <c r="HH27" s="46">
        <f>HH25/POWER((1+'Вхідні дані'!$B$13/12),HH1)</f>
        <v>28.706649184389612</v>
      </c>
      <c r="HI27" s="46">
        <f>HI25/POWER((1+'Вхідні дані'!$B$13/12),HI1)</f>
        <v>28.120799201034721</v>
      </c>
      <c r="HJ27" s="46">
        <f>HJ25/POWER((1+'Вхідні дані'!$B$13/12),HJ1)</f>
        <v>27.546905339789113</v>
      </c>
      <c r="HK27" s="46">
        <f>HK25/POWER((1+'Вхідні дані'!$B$13/12),HK1)</f>
        <v>26.98472359816077</v>
      </c>
      <c r="HL27" s="46">
        <f>HL25/POWER((1+'Вхідні дані'!$B$13/12),HL1)</f>
        <v>26.434014953300348</v>
      </c>
      <c r="HM27" s="46">
        <f>HM25/POWER((1+'Вхідні дані'!$B$13/12),HM1)</f>
        <v>339.67645084121386</v>
      </c>
      <c r="HN27" s="46">
        <f>HN25/POWER((1+'Вхідні дані'!$B$13/12),HN1)</f>
        <v>684.03364205740399</v>
      </c>
      <c r="HO27" s="46">
        <f>HO25/POWER((1+'Вхідні дані'!$B$13/12),HO1)</f>
        <v>691.58128387351871</v>
      </c>
      <c r="HP27" s="46">
        <f>HP25/POWER((1+'Вхідні дані'!$B$13/12),HP1)</f>
        <v>677.46738012099797</v>
      </c>
      <c r="HQ27" s="46">
        <f>HQ25/POWER((1+'Вхідні дані'!$B$13/12),HQ1)</f>
        <v>622.36429090464117</v>
      </c>
      <c r="HR27" s="46">
        <f>HR25/POWER((1+'Вхідні дані'!$B$13/12),HR1)</f>
        <v>650.09781082831307</v>
      </c>
      <c r="HS27" s="46">
        <f>HS25/POWER((1+'Вхідні дані'!$B$13/12),HS1)</f>
        <v>280.34382659437949</v>
      </c>
      <c r="HT27" s="46">
        <f>HT25/POWER((1+'Вхідні дані'!$B$13/12),HT1)</f>
        <v>22.414259214210919</v>
      </c>
      <c r="HU27" s="46">
        <f>HU25/POWER((1+'Вхідні дані'!$B$13/12),HU1)</f>
        <v>21.956825352696409</v>
      </c>
      <c r="HV27" s="46">
        <f>HV25/POWER((1+'Вхідні дані'!$B$13/12),HV1)</f>
        <v>21.508726876110771</v>
      </c>
      <c r="HW27" s="46">
        <f>HW25/POWER((1+'Вхідні дані'!$B$13/12),HW1)</f>
        <v>21.069773266394225</v>
      </c>
      <c r="HX27" s="46">
        <f>HX25/POWER((1+'Вхідні дані'!$B$13/12),HX1)</f>
        <v>20.639777893610677</v>
      </c>
      <c r="HY27" s="46">
        <f>HY25/POWER((1+'Вхідні дані'!$B$13/12),HY1)</f>
        <v>265.22064519666537</v>
      </c>
      <c r="HZ27" s="46">
        <f>HZ25/POWER((1+'Вхідні дані'!$B$13/12),HZ1)</f>
        <v>534.09603001150242</v>
      </c>
      <c r="IA27" s="46">
        <f>IA25/POWER((1+'Вхідні дані'!$B$13/12),IA1)</f>
        <v>539.98925701392113</v>
      </c>
      <c r="IB27" s="46">
        <f>IB25/POWER((1+'Вхідні дані'!$B$13/12),IB1)</f>
        <v>528.9690680952699</v>
      </c>
      <c r="IC27" s="46">
        <f>IC25/POWER((1+'Вхідні дані'!$B$13/12),IC1)</f>
        <v>485.94436962677565</v>
      </c>
      <c r="ID27" s="46">
        <f>ID25/POWER((1+'Вхідні дані'!$B$13/12),ID1)</f>
        <v>507.59880586901363</v>
      </c>
      <c r="IE27" s="46">
        <f>IE25/POWER((1+'Вхідні дані'!$B$13/12),IE1)</f>
        <v>218.89350993313533</v>
      </c>
      <c r="IF27" s="46">
        <f>IF25/POWER((1+'Вхідні дані'!$B$13/12),IF1)</f>
        <v>17.501137555094335</v>
      </c>
      <c r="IG27" s="46">
        <f>IG25/POWER((1+'Вхідні дані'!$B$13/12),IG1)</f>
        <v>17.143971482541392</v>
      </c>
    </row>
    <row r="28" spans="1:241" ht="60" outlineLevel="1" x14ac:dyDescent="0.25">
      <c r="A28" s="57" t="s">
        <v>315</v>
      </c>
      <c r="B28" s="46">
        <f>B27</f>
        <v>-41580.231575510203</v>
      </c>
      <c r="C28" s="46">
        <f t="shared" ref="C28:BN28" si="42">B28+C27</f>
        <v>-40549.414820731363</v>
      </c>
      <c r="D28" s="46">
        <f t="shared" si="42"/>
        <v>-39539.635142580657</v>
      </c>
      <c r="E28" s="46">
        <f t="shared" si="42"/>
        <v>-57559.1796268045</v>
      </c>
      <c r="F28" s="46">
        <f t="shared" si="42"/>
        <v>-61791.720533618427</v>
      </c>
      <c r="G28" s="46">
        <f t="shared" si="42"/>
        <v>-65116.295844072309</v>
      </c>
      <c r="H28" s="46">
        <f t="shared" si="42"/>
        <v>-67908.103716294645</v>
      </c>
      <c r="I28" s="46">
        <f t="shared" si="42"/>
        <v>-72219.726365808106</v>
      </c>
      <c r="J28" s="46">
        <f t="shared" si="42"/>
        <v>-74898.745665100185</v>
      </c>
      <c r="K28" s="46">
        <f t="shared" si="42"/>
        <v>-91140.886491768848</v>
      </c>
      <c r="L28" s="46">
        <f t="shared" si="42"/>
        <v>-116685.91370037798</v>
      </c>
      <c r="M28" s="46">
        <f t="shared" si="42"/>
        <v>-141709.61382309714</v>
      </c>
      <c r="N28" s="46">
        <f t="shared" si="42"/>
        <v>-166222.62618820978</v>
      </c>
      <c r="O28" s="46">
        <f t="shared" si="42"/>
        <v>-190235.37299485074</v>
      </c>
      <c r="P28" s="46">
        <f t="shared" si="42"/>
        <v>-213758.06374421332</v>
      </c>
      <c r="Q28" s="46">
        <f t="shared" si="42"/>
        <v>-222762.07571311385</v>
      </c>
      <c r="R28" s="46">
        <f t="shared" si="42"/>
        <v>-215865.62223364459</v>
      </c>
      <c r="S28" s="46">
        <f t="shared" si="42"/>
        <v>-208147.6651454666</v>
      </c>
      <c r="T28" s="46">
        <f t="shared" si="42"/>
        <v>-200042.70168444861</v>
      </c>
      <c r="U28" s="46">
        <f t="shared" si="42"/>
        <v>-194873.26438979275</v>
      </c>
      <c r="V28" s="46">
        <f t="shared" si="42"/>
        <v>-187095.74010233523</v>
      </c>
      <c r="W28" s="46">
        <f t="shared" si="42"/>
        <v>-194540.11047305851</v>
      </c>
      <c r="X28" s="46">
        <f t="shared" si="42"/>
        <v>-213984.35566222982</v>
      </c>
      <c r="Y28" s="46">
        <f t="shared" si="42"/>
        <v>-233031.77952100988</v>
      </c>
      <c r="Z28" s="46">
        <f t="shared" si="42"/>
        <v>-251690.48044389649</v>
      </c>
      <c r="AA28" s="46">
        <f t="shared" si="42"/>
        <v>-269968.39155203034</v>
      </c>
      <c r="AB28" s="46">
        <f t="shared" si="42"/>
        <v>-287873.28406612063</v>
      </c>
      <c r="AC28" s="46">
        <f t="shared" si="42"/>
        <v>-288970.65545721637</v>
      </c>
      <c r="AD28" s="46">
        <f t="shared" si="42"/>
        <v>-271638.13233340764</v>
      </c>
      <c r="AE28" s="46">
        <f t="shared" si="42"/>
        <v>-253532.34442557098</v>
      </c>
      <c r="AF28" s="46">
        <f t="shared" si="42"/>
        <v>-235796.06239340446</v>
      </c>
      <c r="AG28" s="46">
        <f t="shared" si="42"/>
        <v>-221666.12394396152</v>
      </c>
      <c r="AH28" s="46">
        <f t="shared" si="42"/>
        <v>-204646.38475107867</v>
      </c>
      <c r="AI28" s="46">
        <f t="shared" si="42"/>
        <v>-205616.05613181792</v>
      </c>
      <c r="AJ28" s="46">
        <f t="shared" si="42"/>
        <v>-220798.19561090972</v>
      </c>
      <c r="AK28" s="46">
        <f t="shared" si="42"/>
        <v>-235670.49550879555</v>
      </c>
      <c r="AL28" s="46">
        <f t="shared" si="42"/>
        <v>-250239.27908223475</v>
      </c>
      <c r="AM28" s="46">
        <f t="shared" si="42"/>
        <v>-264510.74054193025</v>
      </c>
      <c r="AN28" s="46">
        <f t="shared" si="42"/>
        <v>-278490.9476861218</v>
      </c>
      <c r="AO28" s="46">
        <f t="shared" si="42"/>
        <v>-279347.77937888709</v>
      </c>
      <c r="AP28" s="46">
        <f t="shared" si="42"/>
        <v>-265814.48039864202</v>
      </c>
      <c r="AQ28" s="46">
        <f t="shared" si="42"/>
        <v>-251677.41337848763</v>
      </c>
      <c r="AR28" s="46">
        <f t="shared" si="42"/>
        <v>-237828.85793017311</v>
      </c>
      <c r="AS28" s="46">
        <f t="shared" si="42"/>
        <v>-226796.14906010113</v>
      </c>
      <c r="AT28" s="46">
        <f t="shared" si="42"/>
        <v>-213507.07294476725</v>
      </c>
      <c r="AU28" s="46">
        <f t="shared" si="42"/>
        <v>-214264.19599110004</v>
      </c>
      <c r="AV28" s="46">
        <f t="shared" si="42"/>
        <v>-226118.46736651778</v>
      </c>
      <c r="AW28" s="46">
        <f t="shared" si="42"/>
        <v>-237730.81483631476</v>
      </c>
      <c r="AX28" s="46">
        <f t="shared" si="42"/>
        <v>-249106.17562305465</v>
      </c>
      <c r="AY28" s="46">
        <f t="shared" si="42"/>
        <v>-260249.38618965697</v>
      </c>
      <c r="AZ28" s="46">
        <f t="shared" si="42"/>
        <v>-271165.1842957164</v>
      </c>
      <c r="BA28" s="46">
        <f t="shared" si="42"/>
        <v>-271834.20169099764</v>
      </c>
      <c r="BB28" s="46">
        <f t="shared" si="42"/>
        <v>-261267.35115340224</v>
      </c>
      <c r="BC28" s="46">
        <f t="shared" si="42"/>
        <v>-250229.07626861616</v>
      </c>
      <c r="BD28" s="46">
        <f t="shared" si="42"/>
        <v>-239416.0722998461</v>
      </c>
      <c r="BE28" s="46">
        <f t="shared" si="42"/>
        <v>-230142.37521857306</v>
      </c>
      <c r="BF28" s="46">
        <f t="shared" si="42"/>
        <v>-219766.21480872459</v>
      </c>
      <c r="BG28" s="46">
        <f t="shared" si="42"/>
        <v>-220990.05970436448</v>
      </c>
      <c r="BH28" s="46">
        <f t="shared" si="42"/>
        <v>-230245.91919871123</v>
      </c>
      <c r="BI28" s="46">
        <f t="shared" si="42"/>
        <v>-239312.88360133659</v>
      </c>
      <c r="BJ28" s="46">
        <f t="shared" si="42"/>
        <v>-248194.80791411246</v>
      </c>
      <c r="BK28" s="46">
        <f t="shared" si="42"/>
        <v>-256895.46846540313</v>
      </c>
      <c r="BL28" s="46">
        <f t="shared" si="42"/>
        <v>-265418.56451564707</v>
      </c>
      <c r="BM28" s="46">
        <f t="shared" si="42"/>
        <v>-256945.88278272733</v>
      </c>
      <c r="BN28" s="46">
        <f t="shared" si="42"/>
        <v>-239883.76579048534</v>
      </c>
      <c r="BO28" s="46">
        <f t="shared" ref="BO28:DZ28" si="43">BN28+BO27</f>
        <v>-222633.38503493668</v>
      </c>
      <c r="BP28" s="46">
        <f t="shared" si="43"/>
        <v>-205735.05286623596</v>
      </c>
      <c r="BQ28" s="46">
        <f t="shared" si="43"/>
        <v>-190211.17846837762</v>
      </c>
      <c r="BR28" s="46">
        <f t="shared" si="43"/>
        <v>-173995.53610407672</v>
      </c>
      <c r="BS28" s="46">
        <f t="shared" si="43"/>
        <v>-167002.81107812733</v>
      </c>
      <c r="BT28" s="46">
        <f t="shared" si="43"/>
        <v>-166443.72349895939</v>
      </c>
      <c r="BU28" s="46">
        <f t="shared" si="43"/>
        <v>-165896.0458703867</v>
      </c>
      <c r="BV28" s="46">
        <f t="shared" si="43"/>
        <v>-165359.54533627469</v>
      </c>
      <c r="BW28" s="46">
        <f t="shared" si="43"/>
        <v>-164833.99379265477</v>
      </c>
      <c r="BX28" s="46">
        <f t="shared" si="43"/>
        <v>-164319.16779074137</v>
      </c>
      <c r="BY28" s="46">
        <f t="shared" si="43"/>
        <v>-157703.66615621262</v>
      </c>
      <c r="BZ28" s="46">
        <f t="shared" si="43"/>
        <v>-144381.50129639788</v>
      </c>
      <c r="CA28" s="46">
        <f t="shared" si="43"/>
        <v>-130912.33938498392</v>
      </c>
      <c r="CB28" s="46">
        <f t="shared" si="43"/>
        <v>-117718.05832890494</v>
      </c>
      <c r="CC28" s="46">
        <f t="shared" si="43"/>
        <v>-105596.95904882372</v>
      </c>
      <c r="CD28" s="46">
        <f t="shared" si="43"/>
        <v>-92935.724749279369</v>
      </c>
      <c r="CE28" s="46">
        <f t="shared" si="43"/>
        <v>-87475.77885526116</v>
      </c>
      <c r="CF28" s="46">
        <f t="shared" si="43"/>
        <v>-87039.241179183999</v>
      </c>
      <c r="CG28" s="46">
        <f t="shared" si="43"/>
        <v>-86611.612435271672</v>
      </c>
      <c r="CH28" s="46">
        <f t="shared" si="43"/>
        <v>-86192.710808582051</v>
      </c>
      <c r="CI28" s="46">
        <f t="shared" si="43"/>
        <v>-85782.358194682005</v>
      </c>
      <c r="CJ28" s="46">
        <f t="shared" si="43"/>
        <v>-85380.380123922776</v>
      </c>
      <c r="CK28" s="46">
        <f t="shared" si="43"/>
        <v>-80214.971666951154</v>
      </c>
      <c r="CL28" s="46">
        <f t="shared" si="43"/>
        <v>-69812.97544146626</v>
      </c>
      <c r="CM28" s="46">
        <f t="shared" si="43"/>
        <v>-59296.203367462585</v>
      </c>
      <c r="CN28" s="46">
        <f t="shared" si="43"/>
        <v>-48994.059294969185</v>
      </c>
      <c r="CO28" s="46">
        <f t="shared" si="43"/>
        <v>-39529.859573161681</v>
      </c>
      <c r="CP28" s="46">
        <f t="shared" si="43"/>
        <v>-29643.920404888129</v>
      </c>
      <c r="CQ28" s="46">
        <f t="shared" si="43"/>
        <v>-25380.774198655185</v>
      </c>
      <c r="CR28" s="46">
        <f t="shared" si="43"/>
        <v>-25039.923945965864</v>
      </c>
      <c r="CS28" s="46">
        <f t="shared" si="43"/>
        <v>-24706.02982088245</v>
      </c>
      <c r="CT28" s="46">
        <f t="shared" si="43"/>
        <v>-24378.949861617064</v>
      </c>
      <c r="CU28" s="46">
        <f t="shared" si="43"/>
        <v>-24058.545003561176</v>
      </c>
      <c r="CV28" s="46">
        <f t="shared" si="43"/>
        <v>-23744.679020159489</v>
      </c>
      <c r="CW28" s="46">
        <f t="shared" si="43"/>
        <v>-19711.508748068016</v>
      </c>
      <c r="CX28" s="46">
        <f t="shared" si="43"/>
        <v>-11589.591130805733</v>
      </c>
      <c r="CY28" s="46">
        <f t="shared" si="43"/>
        <v>-3378.0561010859183</v>
      </c>
      <c r="CZ28" s="46">
        <f t="shared" si="43"/>
        <v>4665.8965810885975</v>
      </c>
      <c r="DA28" s="46">
        <f t="shared" si="43"/>
        <v>12055.579175426781</v>
      </c>
      <c r="DB28" s="46">
        <f t="shared" si="43"/>
        <v>19774.557509341852</v>
      </c>
      <c r="DC28" s="46">
        <f t="shared" si="43"/>
        <v>23103.238036310046</v>
      </c>
      <c r="DD28" s="46">
        <f t="shared" si="43"/>
        <v>23369.375190386607</v>
      </c>
      <c r="DE28" s="46">
        <f t="shared" si="43"/>
        <v>23630.08097397181</v>
      </c>
      <c r="DF28" s="46">
        <f t="shared" si="43"/>
        <v>23885.466231361395</v>
      </c>
      <c r="DG28" s="46">
        <f t="shared" si="43"/>
        <v>24135.639544722624</v>
      </c>
      <c r="DH28" s="46">
        <f t="shared" si="43"/>
        <v>24380.707280260154</v>
      </c>
      <c r="DI28" s="46">
        <f t="shared" si="43"/>
        <v>27529.821736393431</v>
      </c>
      <c r="DJ28" s="46">
        <f t="shared" si="43"/>
        <v>33871.445435504167</v>
      </c>
      <c r="DK28" s="46">
        <f t="shared" si="43"/>
        <v>40283.04274595587</v>
      </c>
      <c r="DL28" s="46">
        <f t="shared" si="43"/>
        <v>46563.791131704485</v>
      </c>
      <c r="DM28" s="46">
        <f t="shared" si="43"/>
        <v>52333.682982067461</v>
      </c>
      <c r="DN28" s="46">
        <f t="shared" si="43"/>
        <v>58360.690179387246</v>
      </c>
      <c r="DO28" s="46">
        <f t="shared" si="43"/>
        <v>60959.736403609524</v>
      </c>
      <c r="DP28" s="46">
        <f t="shared" si="43"/>
        <v>61167.537290424567</v>
      </c>
      <c r="DQ28" s="46">
        <f t="shared" si="43"/>
        <v>61371.097342814814</v>
      </c>
      <c r="DR28" s="46">
        <f t="shared" si="43"/>
        <v>61570.503108421581</v>
      </c>
      <c r="DS28" s="46">
        <f t="shared" si="43"/>
        <v>61765.839368607805</v>
      </c>
      <c r="DT28" s="46">
        <f t="shared" si="43"/>
        <v>61957.189174504514</v>
      </c>
      <c r="DU28" s="46">
        <f t="shared" si="43"/>
        <v>64416.029537989831</v>
      </c>
      <c r="DV28" s="46">
        <f t="shared" si="43"/>
        <v>69367.593077079131</v>
      </c>
      <c r="DW28" s="46">
        <f t="shared" si="43"/>
        <v>74373.79227401469</v>
      </c>
      <c r="DX28" s="46">
        <f t="shared" si="43"/>
        <v>79277.824140400538</v>
      </c>
      <c r="DY28" s="46">
        <f t="shared" si="43"/>
        <v>83782.977310361108</v>
      </c>
      <c r="DZ28" s="46">
        <f t="shared" si="43"/>
        <v>88488.887106343202</v>
      </c>
      <c r="EA28" s="46">
        <f t="shared" ref="EA28:GL28" si="44">DZ28+EA27</f>
        <v>90518.232133874772</v>
      </c>
      <c r="EB28" s="46">
        <f t="shared" si="44"/>
        <v>90680.48384469263</v>
      </c>
      <c r="EC28" s="46">
        <f t="shared" si="44"/>
        <v>90839.424296106037</v>
      </c>
      <c r="ED28" s="46">
        <f t="shared" si="44"/>
        <v>90995.121064837542</v>
      </c>
      <c r="EE28" s="46">
        <f t="shared" si="44"/>
        <v>91147.640348492889</v>
      </c>
      <c r="EF28" s="46">
        <f t="shared" si="44"/>
        <v>91297.046993706288</v>
      </c>
      <c r="EG28" s="46">
        <f t="shared" si="44"/>
        <v>93216.918759983164</v>
      </c>
      <c r="EH28" s="46">
        <f t="shared" si="44"/>
        <v>97083.118119159364</v>
      </c>
      <c r="EI28" s="46">
        <f t="shared" si="44"/>
        <v>100991.97720463936</v>
      </c>
      <c r="EJ28" s="46">
        <f t="shared" si="44"/>
        <v>104821.06365572181</v>
      </c>
      <c r="EK28" s="46">
        <f t="shared" si="44"/>
        <v>108338.70412649232</v>
      </c>
      <c r="EL28" s="46">
        <f t="shared" si="44"/>
        <v>112013.09612286631</v>
      </c>
      <c r="EM28" s="46">
        <f t="shared" si="44"/>
        <v>113597.61632200184</v>
      </c>
      <c r="EN28" s="46">
        <f t="shared" si="44"/>
        <v>113724.30306558033</v>
      </c>
      <c r="EO28" s="46">
        <f t="shared" si="44"/>
        <v>113848.40436541232</v>
      </c>
      <c r="EP28" s="46">
        <f t="shared" si="44"/>
        <v>113969.97298565591</v>
      </c>
      <c r="EQ28" s="46">
        <f t="shared" si="44"/>
        <v>114089.06061364964</v>
      </c>
      <c r="ER28" s="46">
        <f t="shared" si="44"/>
        <v>114205.71788188838</v>
      </c>
      <c r="ES28" s="46">
        <f t="shared" si="44"/>
        <v>115704.76094856492</v>
      </c>
      <c r="ET28" s="46">
        <f t="shared" si="44"/>
        <v>118723.50389044457</v>
      </c>
      <c r="EU28" s="46">
        <f t="shared" si="44"/>
        <v>121775.55570641952</v>
      </c>
      <c r="EV28" s="46">
        <f t="shared" si="44"/>
        <v>124765.32075063988</v>
      </c>
      <c r="EW28" s="46">
        <f t="shared" si="44"/>
        <v>127511.90760680017</v>
      </c>
      <c r="EX28" s="46">
        <f t="shared" si="44"/>
        <v>130380.88664132067</v>
      </c>
      <c r="EY28" s="46">
        <f t="shared" si="44"/>
        <v>131618.0859481938</v>
      </c>
      <c r="EZ28" s="46">
        <f t="shared" si="44"/>
        <v>131717.00343213047</v>
      </c>
      <c r="FA28" s="46">
        <f t="shared" si="44"/>
        <v>131813.90219190519</v>
      </c>
      <c r="FB28" s="46">
        <f t="shared" si="44"/>
        <v>131908.82342597021</v>
      </c>
      <c r="FC28" s="46">
        <f t="shared" si="44"/>
        <v>132001.8074919931</v>
      </c>
      <c r="FD28" s="46">
        <f t="shared" si="44"/>
        <v>132092.89392401552</v>
      </c>
      <c r="FE28" s="46">
        <f t="shared" si="44"/>
        <v>133263.35236567943</v>
      </c>
      <c r="FF28" s="46">
        <f t="shared" si="44"/>
        <v>135620.39816248231</v>
      </c>
      <c r="FG28" s="46">
        <f t="shared" si="44"/>
        <v>138003.45165294909</v>
      </c>
      <c r="FH28" s="46">
        <f t="shared" si="44"/>
        <v>140337.87139871248</v>
      </c>
      <c r="FI28" s="46">
        <f t="shared" si="44"/>
        <v>142482.41670432757</v>
      </c>
      <c r="FJ28" s="46">
        <f t="shared" si="44"/>
        <v>144722.52628127002</v>
      </c>
      <c r="FK28" s="46">
        <f t="shared" si="44"/>
        <v>145688.53613444982</v>
      </c>
      <c r="FL28" s="46">
        <f t="shared" si="44"/>
        <v>145765.77127643846</v>
      </c>
      <c r="FM28" s="46">
        <f t="shared" si="44"/>
        <v>145841.43019103957</v>
      </c>
      <c r="FN28" s="46">
        <f t="shared" si="44"/>
        <v>145915.54504615904</v>
      </c>
      <c r="FO28" s="46">
        <f t="shared" si="44"/>
        <v>145988.14735321482</v>
      </c>
      <c r="FP28" s="46">
        <f t="shared" si="44"/>
        <v>146059.26798053479</v>
      </c>
      <c r="FQ28" s="46">
        <f t="shared" si="44"/>
        <v>146973.16631615741</v>
      </c>
      <c r="FR28" s="46">
        <f t="shared" si="44"/>
        <v>148813.5565034606</v>
      </c>
      <c r="FS28" s="46">
        <f t="shared" si="44"/>
        <v>150674.25359539772</v>
      </c>
      <c r="FT28" s="46">
        <f t="shared" si="44"/>
        <v>152496.97727729531</v>
      </c>
      <c r="FU28" s="46">
        <f t="shared" si="44"/>
        <v>154171.44628508235</v>
      </c>
      <c r="FV28" s="46">
        <f t="shared" si="44"/>
        <v>155920.53223389204</v>
      </c>
      <c r="FW28" s="46">
        <f t="shared" si="44"/>
        <v>156674.79634579082</v>
      </c>
      <c r="FX28" s="46">
        <f t="shared" si="44"/>
        <v>156735.10183396743</v>
      </c>
      <c r="FY28" s="46">
        <f t="shared" si="44"/>
        <v>156794.17659789557</v>
      </c>
      <c r="FZ28" s="46">
        <f t="shared" si="44"/>
        <v>156852.04575439659</v>
      </c>
      <c r="GA28" s="46">
        <f t="shared" si="44"/>
        <v>156908.73390770372</v>
      </c>
      <c r="GB28" s="46">
        <f t="shared" si="44"/>
        <v>156964.26515992294</v>
      </c>
      <c r="GC28" s="46">
        <f t="shared" si="44"/>
        <v>157677.84040371072</v>
      </c>
      <c r="GD28" s="46">
        <f t="shared" si="44"/>
        <v>159114.82395579788</v>
      </c>
      <c r="GE28" s="46">
        <f t="shared" si="44"/>
        <v>160567.66321509</v>
      </c>
      <c r="GF28" s="46">
        <f t="shared" si="44"/>
        <v>161990.85269358024</v>
      </c>
      <c r="GG28" s="46">
        <f t="shared" si="44"/>
        <v>163298.28436718395</v>
      </c>
      <c r="GH28" s="46">
        <f t="shared" si="44"/>
        <v>164663.97722784264</v>
      </c>
      <c r="GI28" s="46">
        <f t="shared" si="44"/>
        <v>165252.90947177968</v>
      </c>
      <c r="GJ28" s="46">
        <f t="shared" si="44"/>
        <v>165299.99622284379</v>
      </c>
      <c r="GK28" s="46">
        <f t="shared" si="44"/>
        <v>165346.12201980458</v>
      </c>
      <c r="GL28" s="46">
        <f t="shared" si="44"/>
        <v>165391.30647397024</v>
      </c>
      <c r="GM28" s="46">
        <f t="shared" ref="GM28:IG28" si="45">GL28+GM27</f>
        <v>165435.56879641823</v>
      </c>
      <c r="GN28" s="46">
        <f t="shared" si="45"/>
        <v>165478.92780616321</v>
      </c>
      <c r="GO28" s="46">
        <f t="shared" si="45"/>
        <v>166036.09002946445</v>
      </c>
      <c r="GP28" s="46">
        <f t="shared" si="45"/>
        <v>167158.09216967085</v>
      </c>
      <c r="GQ28" s="46">
        <f t="shared" si="45"/>
        <v>168292.47450545611</v>
      </c>
      <c r="GR28" s="46">
        <f t="shared" si="45"/>
        <v>169403.70618132738</v>
      </c>
      <c r="GS28" s="46">
        <f t="shared" si="45"/>
        <v>170424.55372953092</v>
      </c>
      <c r="GT28" s="46">
        <f t="shared" si="45"/>
        <v>171490.89183082513</v>
      </c>
      <c r="GU28" s="46">
        <f t="shared" si="45"/>
        <v>171950.7323329479</v>
      </c>
      <c r="GV28" s="46">
        <f t="shared" si="45"/>
        <v>171987.49784455905</v>
      </c>
      <c r="GW28" s="46">
        <f t="shared" si="45"/>
        <v>172023.51303960671</v>
      </c>
      <c r="GX28" s="46">
        <f t="shared" si="45"/>
        <v>172058.79323067382</v>
      </c>
      <c r="GY28" s="46">
        <f t="shared" si="45"/>
        <v>172093.3534178416</v>
      </c>
      <c r="GZ28" s="46">
        <f t="shared" si="45"/>
        <v>172127.20829506716</v>
      </c>
      <c r="HA28" s="46">
        <f t="shared" si="45"/>
        <v>172562.24264607151</v>
      </c>
      <c r="HB28" s="46">
        <f t="shared" si="45"/>
        <v>173438.30612000567</v>
      </c>
      <c r="HC28" s="46">
        <f t="shared" si="45"/>
        <v>174324.03609702227</v>
      </c>
      <c r="HD28" s="46">
        <f t="shared" si="45"/>
        <v>175191.68995205892</v>
      </c>
      <c r="HE28" s="46">
        <f t="shared" si="45"/>
        <v>175988.77154164648</v>
      </c>
      <c r="HF28" s="46">
        <f t="shared" si="45"/>
        <v>176821.3723254884</v>
      </c>
      <c r="HG28" s="46">
        <f t="shared" si="45"/>
        <v>177180.4175120432</v>
      </c>
      <c r="HH28" s="46">
        <f t="shared" si="45"/>
        <v>177209.12416122761</v>
      </c>
      <c r="HI28" s="46">
        <f t="shared" si="45"/>
        <v>177237.24496042865</v>
      </c>
      <c r="HJ28" s="46">
        <f t="shared" si="45"/>
        <v>177264.79186576843</v>
      </c>
      <c r="HK28" s="46">
        <f t="shared" si="45"/>
        <v>177291.77658936661</v>
      </c>
      <c r="HL28" s="46">
        <f t="shared" si="45"/>
        <v>177318.2106043199</v>
      </c>
      <c r="HM28" s="46">
        <f t="shared" si="45"/>
        <v>177657.88705516112</v>
      </c>
      <c r="HN28" s="46">
        <f t="shared" si="45"/>
        <v>178341.92069721853</v>
      </c>
      <c r="HO28" s="46">
        <f t="shared" si="45"/>
        <v>179033.50198109206</v>
      </c>
      <c r="HP28" s="46">
        <f t="shared" si="45"/>
        <v>179710.96936121306</v>
      </c>
      <c r="HQ28" s="46">
        <f t="shared" si="45"/>
        <v>180333.3336521177</v>
      </c>
      <c r="HR28" s="46">
        <f t="shared" si="45"/>
        <v>180983.431462946</v>
      </c>
      <c r="HS28" s="46">
        <f t="shared" si="45"/>
        <v>181263.77528954038</v>
      </c>
      <c r="HT28" s="46">
        <f t="shared" si="45"/>
        <v>181286.1895487546</v>
      </c>
      <c r="HU28" s="46">
        <f t="shared" si="45"/>
        <v>181308.14637410731</v>
      </c>
      <c r="HV28" s="46">
        <f t="shared" si="45"/>
        <v>181329.65510098342</v>
      </c>
      <c r="HW28" s="46">
        <f t="shared" si="45"/>
        <v>181350.7248742498</v>
      </c>
      <c r="HX28" s="46">
        <f t="shared" si="45"/>
        <v>181371.36465214341</v>
      </c>
      <c r="HY28" s="46">
        <f t="shared" si="45"/>
        <v>181636.58529734009</v>
      </c>
      <c r="HZ28" s="46">
        <f t="shared" si="45"/>
        <v>182170.6813273516</v>
      </c>
      <c r="IA28" s="46">
        <f t="shared" si="45"/>
        <v>182710.67058436552</v>
      </c>
      <c r="IB28" s="46">
        <f t="shared" si="45"/>
        <v>183239.63965246078</v>
      </c>
      <c r="IC28" s="46">
        <f t="shared" si="45"/>
        <v>183725.58402208757</v>
      </c>
      <c r="ID28" s="46">
        <f t="shared" si="45"/>
        <v>184233.1828279566</v>
      </c>
      <c r="IE28" s="46">
        <f t="shared" si="45"/>
        <v>184452.07633788974</v>
      </c>
      <c r="IF28" s="46">
        <f t="shared" si="45"/>
        <v>184469.57747544482</v>
      </c>
      <c r="IG28" s="46">
        <f t="shared" si="45"/>
        <v>184486.72144692737</v>
      </c>
    </row>
    <row r="29" spans="1:241" x14ac:dyDescent="0.25">
      <c r="A29" s="58" t="s">
        <v>308</v>
      </c>
      <c r="B29" s="46">
        <f>NPV('Вхідні дані'!B13/12,B25:IG25)</f>
        <v>184486.72144692586</v>
      </c>
    </row>
    <row r="30" spans="1:241" x14ac:dyDescent="0.25">
      <c r="A30" s="58" t="s">
        <v>307</v>
      </c>
      <c r="B30" s="45">
        <f>IRR(B25:IG25,0)*12</f>
        <v>0.32497844235558393</v>
      </c>
    </row>
    <row r="31" spans="1:241" x14ac:dyDescent="0.25">
      <c r="A31" s="58" t="s">
        <v>306</v>
      </c>
      <c r="B31" s="49">
        <f>(COUNTIF(B26:IG26,"&lt;0")+ABS(INDEX(B26:IG26,,COUNTIF(B26:IG26,"&lt;0")))/INDEX(B25:IG25,,COUNTIF(B26:IG26,"&lt;0")+1))/12</f>
        <v>5.8268357607624841</v>
      </c>
      <c r="C31" s="59">
        <f>B31*12</f>
        <v>69.922029129149806</v>
      </c>
    </row>
    <row r="32" spans="1:241" x14ac:dyDescent="0.25">
      <c r="A32" s="58" t="s">
        <v>305</v>
      </c>
      <c r="B32" s="49">
        <f>(COUNTIF(B28:IG28,"&lt;0")+ABS(INDEX(B28:IG28,,COUNTIF(B28:IG28,"&lt;0")))/INDEX(B27:IG27,,COUNTIF(B28:IG28,"&lt;0")+1))/12</f>
        <v>8.5349958143978544</v>
      </c>
      <c r="C32" s="59">
        <f>B32*12</f>
        <v>102.41994977277426</v>
      </c>
    </row>
    <row r="34" spans="1:241" x14ac:dyDescent="0.25">
      <c r="A34" s="60" t="s">
        <v>292</v>
      </c>
    </row>
    <row r="35" spans="1:241" outlineLevel="1" x14ac:dyDescent="0.25">
      <c r="A35" s="212" t="s">
        <v>610</v>
      </c>
      <c r="B35" s="46">
        <f>-'Вхідні дані'!B22*'Вхідні дані'!B21</f>
        <v>-61762.982400000001</v>
      </c>
    </row>
    <row r="36" spans="1:241" outlineLevel="1" x14ac:dyDescent="0.25">
      <c r="A36" s="57" t="s">
        <v>314</v>
      </c>
      <c r="E36" s="46">
        <f>'Вхідні дані'!B32</f>
        <v>-60427.508970621013</v>
      </c>
      <c r="F36" s="46">
        <f t="shared" ref="F36:AK36" si="46">E36</f>
        <v>-60427.508970621013</v>
      </c>
      <c r="G36" s="46">
        <f t="shared" si="46"/>
        <v>-60427.508970621013</v>
      </c>
      <c r="H36" s="46">
        <f t="shared" si="46"/>
        <v>-60427.508970621013</v>
      </c>
      <c r="I36" s="46">
        <f t="shared" si="46"/>
        <v>-60427.508970621013</v>
      </c>
      <c r="J36" s="46">
        <f t="shared" si="46"/>
        <v>-60427.508970621013</v>
      </c>
      <c r="K36" s="46">
        <f t="shared" si="46"/>
        <v>-60427.508970621013</v>
      </c>
      <c r="L36" s="46">
        <f t="shared" si="46"/>
        <v>-60427.508970621013</v>
      </c>
      <c r="M36" s="46">
        <f t="shared" si="46"/>
        <v>-60427.508970621013</v>
      </c>
      <c r="N36" s="46">
        <f t="shared" si="46"/>
        <v>-60427.508970621013</v>
      </c>
      <c r="O36" s="46">
        <f t="shared" si="46"/>
        <v>-60427.508970621013</v>
      </c>
      <c r="P36" s="46">
        <f t="shared" si="46"/>
        <v>-60427.508970621013</v>
      </c>
      <c r="Q36" s="46">
        <f t="shared" si="46"/>
        <v>-60427.508970621013</v>
      </c>
      <c r="R36" s="46">
        <f t="shared" si="46"/>
        <v>-60427.508970621013</v>
      </c>
      <c r="S36" s="46">
        <f t="shared" si="46"/>
        <v>-60427.508970621013</v>
      </c>
      <c r="T36" s="46">
        <f t="shared" si="46"/>
        <v>-60427.508970621013</v>
      </c>
      <c r="U36" s="46">
        <f t="shared" si="46"/>
        <v>-60427.508970621013</v>
      </c>
      <c r="V36" s="46">
        <f t="shared" si="46"/>
        <v>-60427.508970621013</v>
      </c>
      <c r="W36" s="46">
        <f t="shared" si="46"/>
        <v>-60427.508970621013</v>
      </c>
      <c r="X36" s="46">
        <f t="shared" si="46"/>
        <v>-60427.508970621013</v>
      </c>
      <c r="Y36" s="46">
        <f t="shared" si="46"/>
        <v>-60427.508970621013</v>
      </c>
      <c r="Z36" s="46">
        <f t="shared" si="46"/>
        <v>-60427.508970621013</v>
      </c>
      <c r="AA36" s="46">
        <f t="shared" si="46"/>
        <v>-60427.508970621013</v>
      </c>
      <c r="AB36" s="46">
        <f t="shared" si="46"/>
        <v>-60427.508970621013</v>
      </c>
      <c r="AC36" s="46">
        <f t="shared" si="46"/>
        <v>-60427.508970621013</v>
      </c>
      <c r="AD36" s="46">
        <f t="shared" si="46"/>
        <v>-60427.508970621013</v>
      </c>
      <c r="AE36" s="46">
        <f t="shared" si="46"/>
        <v>-60427.508970621013</v>
      </c>
      <c r="AF36" s="46">
        <f t="shared" si="46"/>
        <v>-60427.508970621013</v>
      </c>
      <c r="AG36" s="46">
        <f t="shared" si="46"/>
        <v>-60427.508970621013</v>
      </c>
      <c r="AH36" s="46">
        <f t="shared" si="46"/>
        <v>-60427.508970621013</v>
      </c>
      <c r="AI36" s="46">
        <f t="shared" si="46"/>
        <v>-60427.508970621013</v>
      </c>
      <c r="AJ36" s="46">
        <f t="shared" si="46"/>
        <v>-60427.508970621013</v>
      </c>
      <c r="AK36" s="46">
        <f t="shared" si="46"/>
        <v>-60427.508970621013</v>
      </c>
      <c r="AL36" s="46">
        <f t="shared" ref="AL36:BL36" si="47">AK36</f>
        <v>-60427.508970621013</v>
      </c>
      <c r="AM36" s="46">
        <f t="shared" si="47"/>
        <v>-60427.508970621013</v>
      </c>
      <c r="AN36" s="46">
        <f t="shared" si="47"/>
        <v>-60427.508970621013</v>
      </c>
      <c r="AO36" s="46">
        <f t="shared" si="47"/>
        <v>-60427.508970621013</v>
      </c>
      <c r="AP36" s="46">
        <f t="shared" si="47"/>
        <v>-60427.508970621013</v>
      </c>
      <c r="AQ36" s="46">
        <f t="shared" si="47"/>
        <v>-60427.508970621013</v>
      </c>
      <c r="AR36" s="46">
        <f t="shared" si="47"/>
        <v>-60427.508970621013</v>
      </c>
      <c r="AS36" s="46">
        <f t="shared" si="47"/>
        <v>-60427.508970621013</v>
      </c>
      <c r="AT36" s="46">
        <f t="shared" si="47"/>
        <v>-60427.508970621013</v>
      </c>
      <c r="AU36" s="46">
        <f t="shared" si="47"/>
        <v>-60427.508970621013</v>
      </c>
      <c r="AV36" s="46">
        <f t="shared" si="47"/>
        <v>-60427.508970621013</v>
      </c>
      <c r="AW36" s="46">
        <f t="shared" si="47"/>
        <v>-60427.508970621013</v>
      </c>
      <c r="AX36" s="46">
        <f t="shared" si="47"/>
        <v>-60427.508970621013</v>
      </c>
      <c r="AY36" s="46">
        <f t="shared" si="47"/>
        <v>-60427.508970621013</v>
      </c>
      <c r="AZ36" s="46">
        <f t="shared" si="47"/>
        <v>-60427.508970621013</v>
      </c>
      <c r="BA36" s="46">
        <f t="shared" si="47"/>
        <v>-60427.508970621013</v>
      </c>
      <c r="BB36" s="46">
        <f t="shared" si="47"/>
        <v>-60427.508970621013</v>
      </c>
      <c r="BC36" s="46">
        <f t="shared" si="47"/>
        <v>-60427.508970621013</v>
      </c>
      <c r="BD36" s="46">
        <f t="shared" si="47"/>
        <v>-60427.508970621013</v>
      </c>
      <c r="BE36" s="46">
        <f t="shared" si="47"/>
        <v>-60427.508970621013</v>
      </c>
      <c r="BF36" s="46">
        <f t="shared" si="47"/>
        <v>-60427.508970621013</v>
      </c>
      <c r="BG36" s="46">
        <f t="shared" si="47"/>
        <v>-60427.508970621013</v>
      </c>
      <c r="BH36" s="46">
        <f t="shared" si="47"/>
        <v>-60427.508970621013</v>
      </c>
      <c r="BI36" s="46">
        <f t="shared" si="47"/>
        <v>-60427.508970621013</v>
      </c>
      <c r="BJ36" s="46">
        <f t="shared" si="47"/>
        <v>-60427.508970621013</v>
      </c>
      <c r="BK36" s="46">
        <f t="shared" si="47"/>
        <v>-60427.508970621013</v>
      </c>
      <c r="BL36" s="46">
        <f t="shared" si="47"/>
        <v>-60427.508970621013</v>
      </c>
    </row>
    <row r="37" spans="1:241" ht="30" outlineLevel="1" x14ac:dyDescent="0.25">
      <c r="A37" s="57" t="s">
        <v>313</v>
      </c>
      <c r="B37" s="46">
        <f>B3+B36+B9+B35</f>
        <v>-61762.982400000001</v>
      </c>
      <c r="C37" s="46">
        <f t="shared" ref="C37:E37" si="48">C3+C36+C9+C35</f>
        <v>0</v>
      </c>
      <c r="D37" s="46">
        <f t="shared" si="48"/>
        <v>0</v>
      </c>
      <c r="E37" s="46">
        <f t="shared" si="48"/>
        <v>-88088.624850449327</v>
      </c>
      <c r="F37" s="46">
        <f>F3+F36+F9+F35</f>
        <v>-119701.32871311027</v>
      </c>
      <c r="G37" s="46">
        <f t="shared" ref="G37" si="49">G3+G36+G9+G35</f>
        <v>-121677.12270452658</v>
      </c>
      <c r="H37" s="46">
        <f t="shared" ref="H37:I37" si="50">H3+H36+H9+H35</f>
        <v>-121677.12270452658</v>
      </c>
      <c r="I37" s="46">
        <f t="shared" si="50"/>
        <v>-117725.53472169396</v>
      </c>
      <c r="J37" s="46">
        <f t="shared" ref="J37" si="51">J3+J36+J9+J35</f>
        <v>-121677.12270452658</v>
      </c>
      <c r="K37" s="46">
        <f t="shared" ref="K37" si="52">K3+K36+K9+K35</f>
        <v>-86112.830859033027</v>
      </c>
      <c r="L37" s="46">
        <f t="shared" ref="L37:M37" si="53">L3+L36+L9+L35</f>
        <v>-60427.508970621013</v>
      </c>
      <c r="M37" s="46">
        <f t="shared" si="53"/>
        <v>-60427.508970621013</v>
      </c>
      <c r="N37" s="46">
        <f t="shared" ref="N37" si="54">N3+N36+N9+N35</f>
        <v>-60427.508970621013</v>
      </c>
      <c r="O37" s="46">
        <f t="shared" ref="O37:P37" si="55">O3+O36+O9+O35</f>
        <v>-60427.508970621013</v>
      </c>
      <c r="P37" s="46">
        <f t="shared" si="55"/>
        <v>-60427.508970621013</v>
      </c>
      <c r="Q37" s="46">
        <f t="shared" ref="Q37" si="56">Q3+Q36+Q9+Q35</f>
        <v>-101919.1827903635</v>
      </c>
      <c r="R37" s="46">
        <f t="shared" ref="R37" si="57">R3+R36+R9+R35</f>
        <v>-149338.2385843549</v>
      </c>
      <c r="S37" s="46">
        <f t="shared" ref="S37:T37" si="58">S3+S36+S9+S35</f>
        <v>-152301.92957147936</v>
      </c>
      <c r="T37" s="46">
        <f t="shared" si="58"/>
        <v>-152301.92957147936</v>
      </c>
      <c r="U37" s="46">
        <f t="shared" ref="U37" si="59">U3+U36+U9+U35</f>
        <v>-143410.85661010596</v>
      </c>
      <c r="V37" s="46">
        <f t="shared" ref="V37:W37" si="60">V3+V36+V9+V35</f>
        <v>-152301.92957147936</v>
      </c>
      <c r="W37" s="46">
        <f t="shared" si="60"/>
        <v>-101919.1827903635</v>
      </c>
      <c r="X37" s="46">
        <f t="shared" ref="X37" si="61">X3+X36+X9+X35</f>
        <v>-60427.508970621013</v>
      </c>
      <c r="Y37" s="46">
        <f t="shared" ref="Y37" si="62">Y3+Y36+Y9+Y35</f>
        <v>-60427.508970621013</v>
      </c>
      <c r="Z37" s="46">
        <f t="shared" ref="Z37:AA37" si="63">Z3+Z36+Z9+Z35</f>
        <v>-60427.508970621013</v>
      </c>
      <c r="AA37" s="46">
        <f t="shared" si="63"/>
        <v>-60427.508970621013</v>
      </c>
      <c r="AB37" s="46">
        <f t="shared" ref="AB37" si="64">AB3+AB36+AB9+AB35</f>
        <v>-60427.508970621013</v>
      </c>
      <c r="AC37" s="46">
        <f t="shared" ref="AC37:AD37" si="65">AC3+AC36+AC9+AC35</f>
        <v>-122665.01970023473</v>
      </c>
      <c r="AD37" s="46">
        <f t="shared" si="65"/>
        <v>-193793.60339122184</v>
      </c>
      <c r="AE37" s="46">
        <f t="shared" ref="AE37" si="66">AE3+AE36+AE9+AE35</f>
        <v>-198239.13987190853</v>
      </c>
      <c r="AF37" s="46">
        <f t="shared" ref="AF37" si="67">AF3+AF36+AF9+AF35</f>
        <v>-198239.13987190853</v>
      </c>
      <c r="AG37" s="46">
        <f t="shared" ref="AG37:AH37" si="68">AG3+AG36+AG9+AG35</f>
        <v>-184902.53042984844</v>
      </c>
      <c r="AH37" s="46">
        <f t="shared" si="68"/>
        <v>-198239.13987190853</v>
      </c>
      <c r="AI37" s="46">
        <f t="shared" ref="AI37" si="69">AI3+AI36+AI9+AI35</f>
        <v>-122665.01970023473</v>
      </c>
      <c r="AJ37" s="46">
        <f t="shared" ref="AJ37:AK37" si="70">AJ3+AJ36+AJ9+AJ35</f>
        <v>-60427.508970621013</v>
      </c>
      <c r="AK37" s="46">
        <f t="shared" si="70"/>
        <v>-60427.508970621013</v>
      </c>
      <c r="AL37" s="46">
        <f t="shared" ref="AL37" si="71">AL3+AL36+AL9+AL35</f>
        <v>-60427.508970621013</v>
      </c>
      <c r="AM37" s="46">
        <f t="shared" ref="AM37" si="72">AM3+AM36+AM9+AM35</f>
        <v>-60427.508970621013</v>
      </c>
      <c r="AN37" s="46">
        <f t="shared" ref="AN37:AO37" si="73">AN3+AN36+AN9+AN35</f>
        <v>-60427.508970621013</v>
      </c>
      <c r="AO37" s="46">
        <f t="shared" si="73"/>
        <v>-122665.01970023473</v>
      </c>
      <c r="AP37" s="46">
        <f t="shared" ref="AP37" si="74">AP3+AP36+AP9+AP35</f>
        <v>-193793.60339122184</v>
      </c>
      <c r="AQ37" s="46">
        <f t="shared" ref="AQ37:AR37" si="75">AQ3+AQ36+AQ9+AQ35</f>
        <v>-198239.13987190853</v>
      </c>
      <c r="AR37" s="46">
        <f t="shared" si="75"/>
        <v>-198239.13987190853</v>
      </c>
      <c r="AS37" s="46">
        <f t="shared" ref="AS37" si="76">AS3+AS36+AS9+AS35</f>
        <v>-184902.53042984844</v>
      </c>
      <c r="AT37" s="46">
        <f t="shared" ref="AT37" si="77">AT3+AT36+AT9+AT35</f>
        <v>-198239.13987190853</v>
      </c>
      <c r="AU37" s="46">
        <f t="shared" ref="AU37:AV37" si="78">AU3+AU36+AU9+AU35</f>
        <v>-122665.01970023473</v>
      </c>
      <c r="AV37" s="46">
        <f t="shared" si="78"/>
        <v>-60427.508970621013</v>
      </c>
      <c r="AW37" s="46">
        <f t="shared" ref="AW37" si="79">AW3+AW36+AW9+AW35</f>
        <v>-60427.508970621013</v>
      </c>
      <c r="AX37" s="46">
        <f t="shared" ref="AX37:AY37" si="80">AX3+AX36+AX9+AX35</f>
        <v>-60427.508970621013</v>
      </c>
      <c r="AY37" s="46">
        <f t="shared" si="80"/>
        <v>-60427.508970621013</v>
      </c>
      <c r="AZ37" s="46">
        <f t="shared" ref="AZ37" si="81">AZ3+AZ36+AZ9+AZ35</f>
        <v>-60427.508970621013</v>
      </c>
      <c r="BA37" s="46">
        <f t="shared" ref="BA37" si="82">BA3+BA36+BA9+BA35</f>
        <v>-122665.01970023473</v>
      </c>
      <c r="BB37" s="46">
        <f t="shared" ref="BB37:BC37" si="83">BB3+BB36+BB9+BB35</f>
        <v>-193793.60339122184</v>
      </c>
      <c r="BC37" s="46">
        <f t="shared" si="83"/>
        <v>-198239.13987190853</v>
      </c>
      <c r="BD37" s="46">
        <f t="shared" ref="BD37" si="84">BD3+BD36+BD9+BD35</f>
        <v>-198239.13987190853</v>
      </c>
      <c r="BE37" s="46">
        <f t="shared" ref="BE37:BF37" si="85">BE3+BE36+BE9+BE35</f>
        <v>-189348.06691053516</v>
      </c>
      <c r="BF37" s="46">
        <f t="shared" si="85"/>
        <v>-198239.13987190853</v>
      </c>
      <c r="BG37" s="46">
        <f t="shared" ref="BG37" si="86">BG3+BG36+BG9+BG35</f>
        <v>-118219.48321954804</v>
      </c>
      <c r="BH37" s="46">
        <f t="shared" ref="BH37" si="87">BH3+BH36+BH9+BH35</f>
        <v>-60427.508970621013</v>
      </c>
      <c r="BI37" s="46">
        <f t="shared" ref="BI37:BJ37" si="88">BI3+BI36+BI9+BI35</f>
        <v>-60427.508970621013</v>
      </c>
      <c r="BJ37" s="46">
        <f t="shared" si="88"/>
        <v>-60427.508970621013</v>
      </c>
      <c r="BK37" s="46">
        <f t="shared" ref="BK37" si="89">BK3+BK36+BK9+BK35</f>
        <v>-60427.508970621013</v>
      </c>
      <c r="BL37" s="46">
        <f t="shared" ref="BL37:BM37" si="90">BL3+BL36+BL9+BL35</f>
        <v>-60427.508970621013</v>
      </c>
      <c r="BM37" s="46">
        <f t="shared" si="90"/>
        <v>-62237.510729613714</v>
      </c>
      <c r="BN37" s="46">
        <f t="shared" ref="BN37" si="91">BN3+BN36+BN9+BN35</f>
        <v>-133366.09442060083</v>
      </c>
      <c r="BO37" s="46">
        <f t="shared" ref="BO37" si="92">BO3+BO36+BO9+BO35</f>
        <v>-137811.63090128751</v>
      </c>
      <c r="BP37" s="46">
        <f t="shared" ref="BP37:BQ37" si="93">BP3+BP36+BP9+BP35</f>
        <v>-137811.63090128751</v>
      </c>
      <c r="BQ37" s="46">
        <f t="shared" si="93"/>
        <v>-128920.55793991413</v>
      </c>
      <c r="BR37" s="46">
        <f t="shared" ref="BR37" si="94">BR3+BR36+BR9+BR35</f>
        <v>-137811.63090128751</v>
      </c>
      <c r="BS37" s="46">
        <f t="shared" ref="BS37:BT37" si="95">BS3+BS36+BS9+BS35</f>
        <v>-57791.974248927028</v>
      </c>
      <c r="BT37" s="46">
        <f t="shared" si="95"/>
        <v>0</v>
      </c>
      <c r="BU37" s="46">
        <f t="shared" ref="BU37" si="96">BU3+BU36+BU9+BU35</f>
        <v>0</v>
      </c>
      <c r="BV37" s="46">
        <f t="shared" ref="BV37" si="97">BV3+BV36+BV9+BV35</f>
        <v>0</v>
      </c>
      <c r="BW37" s="46">
        <f t="shared" ref="BW37:BX37" si="98">BW3+BW36+BW9+BW35</f>
        <v>0</v>
      </c>
      <c r="BX37" s="46">
        <f t="shared" si="98"/>
        <v>0</v>
      </c>
      <c r="BY37" s="46">
        <f t="shared" ref="BY37" si="99">BY3+BY36+BY9+BY35</f>
        <v>-62237.510729613714</v>
      </c>
      <c r="BZ37" s="46">
        <f t="shared" ref="BZ37:CA37" si="100">BZ3+BZ36+BZ9+BZ35</f>
        <v>-133366.09442060083</v>
      </c>
      <c r="CA37" s="46">
        <f t="shared" si="100"/>
        <v>-137811.63090128751</v>
      </c>
      <c r="CB37" s="46">
        <f t="shared" ref="CB37" si="101">CB3+CB36+CB9+CB35</f>
        <v>-137811.63090128751</v>
      </c>
      <c r="CC37" s="46">
        <f t="shared" ref="CC37" si="102">CC3+CC36+CC9+CC35</f>
        <v>-128920.55793991413</v>
      </c>
      <c r="CD37" s="46">
        <f t="shared" ref="CD37:CE37" si="103">CD3+CD36+CD9+CD35</f>
        <v>-137811.63090128751</v>
      </c>
      <c r="CE37" s="46">
        <f t="shared" si="103"/>
        <v>-57791.974248927028</v>
      </c>
      <c r="CF37" s="46">
        <f t="shared" ref="CF37" si="104">CF3+CF36+CF9+CF35</f>
        <v>0</v>
      </c>
      <c r="CG37" s="46">
        <f t="shared" ref="CG37:CH37" si="105">CG3+CG36+CG9+CG35</f>
        <v>0</v>
      </c>
      <c r="CH37" s="46">
        <f t="shared" si="105"/>
        <v>0</v>
      </c>
      <c r="CI37" s="46">
        <f t="shared" ref="CI37" si="106">CI3+CI36+CI9+CI35</f>
        <v>0</v>
      </c>
      <c r="CJ37" s="46">
        <f t="shared" ref="CJ37" si="107">CJ3+CJ36+CJ9+CJ35</f>
        <v>0</v>
      </c>
      <c r="CK37" s="46">
        <f t="shared" ref="CK37:CL37" si="108">CK3+CK36+CK9+CK35</f>
        <v>-62237.510729613714</v>
      </c>
      <c r="CL37" s="46">
        <f t="shared" si="108"/>
        <v>-133366.09442060083</v>
      </c>
      <c r="CM37" s="46">
        <f t="shared" ref="CM37" si="109">CM3+CM36+CM9+CM35</f>
        <v>-137811.63090128751</v>
      </c>
      <c r="CN37" s="46">
        <f t="shared" ref="CN37:CO37" si="110">CN3+CN36+CN9+CN35</f>
        <v>-137811.63090128751</v>
      </c>
      <c r="CO37" s="46">
        <f t="shared" si="110"/>
        <v>-128920.55793991413</v>
      </c>
      <c r="CP37" s="46">
        <f t="shared" ref="CP37" si="111">CP3+CP36+CP9+CP35</f>
        <v>-137811.63090128751</v>
      </c>
      <c r="CQ37" s="46">
        <f t="shared" ref="CQ37" si="112">CQ3+CQ36+CQ9+CQ35</f>
        <v>-57791.974248927028</v>
      </c>
      <c r="CR37" s="46">
        <f t="shared" ref="CR37:CS37" si="113">CR3+CR36+CR9+CR35</f>
        <v>0</v>
      </c>
      <c r="CS37" s="46">
        <f t="shared" si="113"/>
        <v>0</v>
      </c>
      <c r="CT37" s="46">
        <f t="shared" ref="CT37" si="114">CT3+CT36+CT9+CT35</f>
        <v>0</v>
      </c>
      <c r="CU37" s="46">
        <f t="shared" ref="CU37:CV37" si="115">CU3+CU36+CU9+CU35</f>
        <v>0</v>
      </c>
      <c r="CV37" s="46">
        <f t="shared" si="115"/>
        <v>0</v>
      </c>
      <c r="CW37" s="46">
        <f t="shared" ref="CW37" si="116">CW3+CW36+CW9+CW35</f>
        <v>-62237.510729613714</v>
      </c>
      <c r="CX37" s="46">
        <f t="shared" ref="CX37" si="117">CX3+CX36+CX9+CX35</f>
        <v>-133366.09442060083</v>
      </c>
      <c r="CY37" s="46">
        <f t="shared" ref="CY37:CZ37" si="118">CY3+CY36+CY9+CY35</f>
        <v>-137811.63090128751</v>
      </c>
      <c r="CZ37" s="46">
        <f t="shared" si="118"/>
        <v>-137811.63090128751</v>
      </c>
      <c r="DA37" s="46">
        <f t="shared" ref="DA37" si="119">DA3+DA36+DA9+DA35</f>
        <v>-128920.55793991413</v>
      </c>
      <c r="DB37" s="46">
        <f t="shared" ref="DB37:DC37" si="120">DB3+DB36+DB9+DB35</f>
        <v>-137811.63090128751</v>
      </c>
      <c r="DC37" s="46">
        <f t="shared" si="120"/>
        <v>-57791.974248927028</v>
      </c>
      <c r="DD37" s="46">
        <f t="shared" ref="DD37" si="121">DD3+DD36+DD9+DD35</f>
        <v>0</v>
      </c>
      <c r="DE37" s="46">
        <f t="shared" ref="DE37" si="122">DE3+DE36+DE9+DE35</f>
        <v>0</v>
      </c>
      <c r="DF37" s="46">
        <f t="shared" ref="DF37:DG37" si="123">DF3+DF36+DF9+DF35</f>
        <v>0</v>
      </c>
      <c r="DG37" s="46">
        <f t="shared" si="123"/>
        <v>0</v>
      </c>
      <c r="DH37" s="46">
        <f t="shared" ref="DH37" si="124">DH3+DH36+DH9+DH35</f>
        <v>0</v>
      </c>
      <c r="DI37" s="46">
        <f t="shared" ref="DI37:DJ37" si="125">DI3+DI36+DI9+DI35</f>
        <v>-62237.510729613714</v>
      </c>
      <c r="DJ37" s="46">
        <f t="shared" si="125"/>
        <v>-133366.09442060083</v>
      </c>
      <c r="DK37" s="46">
        <f t="shared" ref="DK37" si="126">DK3+DK36+DK9+DK35</f>
        <v>-137811.63090128751</v>
      </c>
      <c r="DL37" s="46">
        <f t="shared" ref="DL37" si="127">DL3+DL36+DL9+DL35</f>
        <v>-137811.63090128751</v>
      </c>
      <c r="DM37" s="46">
        <f t="shared" ref="DM37:DN37" si="128">DM3+DM36+DM9+DM35</f>
        <v>-128920.55793991413</v>
      </c>
      <c r="DN37" s="46">
        <f t="shared" si="128"/>
        <v>-137811.63090128751</v>
      </c>
      <c r="DO37" s="46">
        <f t="shared" ref="DO37" si="129">DO3+DO36+DO9+DO35</f>
        <v>-57791.974248927028</v>
      </c>
      <c r="DP37" s="46">
        <f t="shared" ref="DP37:DQ37" si="130">DP3+DP36+DP9+DP35</f>
        <v>0</v>
      </c>
      <c r="DQ37" s="46">
        <f t="shared" si="130"/>
        <v>0</v>
      </c>
      <c r="DR37" s="46">
        <f t="shared" ref="DR37" si="131">DR3+DR36+DR9+DR35</f>
        <v>0</v>
      </c>
      <c r="DS37" s="46">
        <f t="shared" ref="DS37" si="132">DS3+DS36+DS9+DS35</f>
        <v>0</v>
      </c>
      <c r="DT37" s="46">
        <f t="shared" ref="DT37:DU37" si="133">DT3+DT36+DT9+DT35</f>
        <v>0</v>
      </c>
      <c r="DU37" s="46">
        <f t="shared" si="133"/>
        <v>-62237.510729613714</v>
      </c>
      <c r="DV37" s="46">
        <f t="shared" ref="DV37" si="134">DV3+DV36+DV9+DV35</f>
        <v>-133366.09442060083</v>
      </c>
      <c r="DW37" s="46">
        <f t="shared" ref="DW37:DX37" si="135">DW3+DW36+DW9+DW35</f>
        <v>-137811.63090128751</v>
      </c>
      <c r="DX37" s="46">
        <f t="shared" si="135"/>
        <v>-137811.63090128751</v>
      </c>
      <c r="DY37" s="46">
        <f t="shared" ref="DY37" si="136">DY3+DY36+DY9+DY35</f>
        <v>-128920.55793991413</v>
      </c>
      <c r="DZ37" s="46">
        <f t="shared" ref="DZ37" si="137">DZ3+DZ36+DZ9+DZ35</f>
        <v>-137811.63090128751</v>
      </c>
      <c r="EA37" s="46">
        <f t="shared" ref="EA37:EB37" si="138">EA3+EA36+EA9+EA35</f>
        <v>-57791.974248927028</v>
      </c>
      <c r="EB37" s="46">
        <f t="shared" si="138"/>
        <v>0</v>
      </c>
      <c r="EC37" s="46">
        <f t="shared" ref="EC37" si="139">EC3+EC36+EC9+EC35</f>
        <v>0</v>
      </c>
      <c r="ED37" s="46">
        <f t="shared" ref="ED37:EE37" si="140">ED3+ED36+ED9+ED35</f>
        <v>0</v>
      </c>
      <c r="EE37" s="46">
        <f t="shared" si="140"/>
        <v>0</v>
      </c>
      <c r="EF37" s="46">
        <f t="shared" ref="EF37" si="141">EF3+EF36+EF9+EF35</f>
        <v>0</v>
      </c>
      <c r="EG37" s="46">
        <f t="shared" ref="EG37" si="142">EG3+EG36+EG9+EG35</f>
        <v>-62237.510729613714</v>
      </c>
      <c r="EH37" s="46">
        <f t="shared" ref="EH37:EI37" si="143">EH3+EH36+EH9+EH35</f>
        <v>-133366.09442060083</v>
      </c>
      <c r="EI37" s="46">
        <f t="shared" si="143"/>
        <v>-137811.63090128751</v>
      </c>
      <c r="EJ37" s="46">
        <f t="shared" ref="EJ37" si="144">EJ3+EJ36+EJ9+EJ35</f>
        <v>-137811.63090128751</v>
      </c>
      <c r="EK37" s="46">
        <f t="shared" ref="EK37:EL37" si="145">EK3+EK36+EK9+EK35</f>
        <v>-128920.55793991413</v>
      </c>
      <c r="EL37" s="46">
        <f t="shared" si="145"/>
        <v>-137811.63090128751</v>
      </c>
      <c r="EM37" s="46">
        <f t="shared" ref="EM37" si="146">EM3+EM36+EM9+EM35</f>
        <v>-57791.974248927028</v>
      </c>
      <c r="EN37" s="46">
        <f t="shared" ref="EN37" si="147">EN3+EN36+EN9+EN35</f>
        <v>0</v>
      </c>
      <c r="EO37" s="46">
        <f t="shared" ref="EO37:EP37" si="148">EO3+EO36+EO9+EO35</f>
        <v>0</v>
      </c>
      <c r="EP37" s="46">
        <f t="shared" si="148"/>
        <v>0</v>
      </c>
      <c r="EQ37" s="46">
        <f t="shared" ref="EQ37" si="149">EQ3+EQ36+EQ9+EQ35</f>
        <v>0</v>
      </c>
      <c r="ER37" s="46">
        <f t="shared" ref="ER37:ES37" si="150">ER3+ER36+ER9+ER35</f>
        <v>0</v>
      </c>
      <c r="ES37" s="46">
        <f t="shared" si="150"/>
        <v>-62237.510729613714</v>
      </c>
      <c r="ET37" s="46">
        <f t="shared" ref="ET37" si="151">ET3+ET36+ET9+ET35</f>
        <v>-133366.09442060083</v>
      </c>
      <c r="EU37" s="46">
        <f t="shared" ref="EU37" si="152">EU3+EU36+EU9+EU35</f>
        <v>-137811.63090128751</v>
      </c>
      <c r="EV37" s="46">
        <f t="shared" ref="EV37:EW37" si="153">EV3+EV36+EV9+EV35</f>
        <v>-137811.63090128751</v>
      </c>
      <c r="EW37" s="46">
        <f t="shared" si="153"/>
        <v>-128920.55793991413</v>
      </c>
      <c r="EX37" s="46">
        <f t="shared" ref="EX37" si="154">EX3+EX36+EX9+EX35</f>
        <v>-137811.63090128751</v>
      </c>
      <c r="EY37" s="46">
        <f t="shared" ref="EY37:EZ37" si="155">EY3+EY36+EY9+EY35</f>
        <v>-57791.974248927028</v>
      </c>
      <c r="EZ37" s="46">
        <f t="shared" si="155"/>
        <v>0</v>
      </c>
      <c r="FA37" s="46">
        <f t="shared" ref="FA37" si="156">FA3+FA36+FA9+FA35</f>
        <v>0</v>
      </c>
      <c r="FB37" s="46">
        <f t="shared" ref="FB37" si="157">FB3+FB36+FB9+FB35</f>
        <v>0</v>
      </c>
      <c r="FC37" s="46">
        <f t="shared" ref="FC37:FD37" si="158">FC3+FC36+FC9+FC35</f>
        <v>0</v>
      </c>
      <c r="FD37" s="46">
        <f t="shared" si="158"/>
        <v>0</v>
      </c>
      <c r="FE37" s="46">
        <f t="shared" ref="FE37" si="159">FE3+FE36+FE9+FE35</f>
        <v>-62237.510729613714</v>
      </c>
      <c r="FF37" s="46">
        <f t="shared" ref="FF37:FG37" si="160">FF3+FF36+FF9+FF35</f>
        <v>-133366.09442060083</v>
      </c>
      <c r="FG37" s="46">
        <f t="shared" si="160"/>
        <v>-137811.63090128751</v>
      </c>
      <c r="FH37" s="46">
        <f t="shared" ref="FH37" si="161">FH3+FH36+FH9+FH35</f>
        <v>-137811.63090128751</v>
      </c>
      <c r="FI37" s="46">
        <f t="shared" ref="FI37" si="162">FI3+FI36+FI9+FI35</f>
        <v>-128920.55793991413</v>
      </c>
      <c r="FJ37" s="46">
        <f t="shared" ref="FJ37:FK37" si="163">FJ3+FJ36+FJ9+FJ35</f>
        <v>-137811.63090128751</v>
      </c>
      <c r="FK37" s="46">
        <f t="shared" si="163"/>
        <v>-57791.974248927028</v>
      </c>
      <c r="FL37" s="46">
        <f t="shared" ref="FL37" si="164">FL3+FL36+FL9+FL35</f>
        <v>0</v>
      </c>
      <c r="FM37" s="46">
        <f t="shared" ref="FM37:FN37" si="165">FM3+FM36+FM9+FM35</f>
        <v>0</v>
      </c>
      <c r="FN37" s="46">
        <f t="shared" si="165"/>
        <v>0</v>
      </c>
      <c r="FO37" s="46">
        <f t="shared" ref="FO37" si="166">FO3+FO36+FO9+FO35</f>
        <v>0</v>
      </c>
      <c r="FP37" s="46">
        <f t="shared" ref="FP37" si="167">FP3+FP36+FP9+FP35</f>
        <v>0</v>
      </c>
      <c r="FQ37" s="46">
        <f t="shared" ref="FQ37:FR37" si="168">FQ3+FQ36+FQ9+FQ35</f>
        <v>-62237.510729613714</v>
      </c>
      <c r="FR37" s="46">
        <f t="shared" si="168"/>
        <v>-133366.09442060083</v>
      </c>
      <c r="FS37" s="46">
        <f t="shared" ref="FS37" si="169">FS3+FS36+FS9+FS35</f>
        <v>-137811.63090128751</v>
      </c>
      <c r="FT37" s="46">
        <f t="shared" ref="FT37:FU37" si="170">FT3+FT36+FT9+FT35</f>
        <v>-137811.63090128751</v>
      </c>
      <c r="FU37" s="46">
        <f t="shared" si="170"/>
        <v>-128920.55793991413</v>
      </c>
      <c r="FV37" s="46">
        <f t="shared" ref="FV37" si="171">FV3+FV36+FV9+FV35</f>
        <v>-137811.63090128751</v>
      </c>
      <c r="FW37" s="46">
        <f t="shared" ref="FW37" si="172">FW3+FW36+FW9+FW35</f>
        <v>-57791.974248927028</v>
      </c>
      <c r="FX37" s="46">
        <f t="shared" ref="FX37:FY37" si="173">FX3+FX36+FX9+FX35</f>
        <v>0</v>
      </c>
      <c r="FY37" s="46">
        <f t="shared" si="173"/>
        <v>0</v>
      </c>
      <c r="FZ37" s="46">
        <f t="shared" ref="FZ37" si="174">FZ3+FZ36+FZ9+FZ35</f>
        <v>0</v>
      </c>
      <c r="GA37" s="46">
        <f t="shared" ref="GA37:GB37" si="175">GA3+GA36+GA9+GA35</f>
        <v>0</v>
      </c>
      <c r="GB37" s="46">
        <f t="shared" si="175"/>
        <v>0</v>
      </c>
      <c r="GC37" s="46">
        <f t="shared" ref="GC37" si="176">GC3+GC36+GC9+GC35</f>
        <v>-62237.510729613714</v>
      </c>
      <c r="GD37" s="46">
        <f t="shared" ref="GD37" si="177">GD3+GD36+GD9+GD35</f>
        <v>-133366.09442060083</v>
      </c>
      <c r="GE37" s="46">
        <f t="shared" ref="GE37:GF37" si="178">GE3+GE36+GE9+GE35</f>
        <v>-137811.63090128751</v>
      </c>
      <c r="GF37" s="46">
        <f t="shared" si="178"/>
        <v>-137811.63090128751</v>
      </c>
      <c r="GG37" s="46">
        <f t="shared" ref="GG37" si="179">GG3+GG36+GG9+GG35</f>
        <v>-128920.55793991413</v>
      </c>
      <c r="GH37" s="46">
        <f t="shared" ref="GH37:GI37" si="180">GH3+GH36+GH9+GH35</f>
        <v>-137811.63090128751</v>
      </c>
      <c r="GI37" s="46">
        <f t="shared" si="180"/>
        <v>-57791.974248927028</v>
      </c>
      <c r="GJ37" s="46">
        <f t="shared" ref="GJ37" si="181">GJ3+GJ36+GJ9+GJ35</f>
        <v>0</v>
      </c>
      <c r="GK37" s="46">
        <f t="shared" ref="GK37" si="182">GK3+GK36+GK9+GK35</f>
        <v>0</v>
      </c>
      <c r="GL37" s="46">
        <f t="shared" ref="GL37:GM37" si="183">GL3+GL36+GL9+GL35</f>
        <v>0</v>
      </c>
      <c r="GM37" s="46">
        <f t="shared" si="183"/>
        <v>0</v>
      </c>
      <c r="GN37" s="46">
        <f t="shared" ref="GN37" si="184">GN3+GN36+GN9+GN35</f>
        <v>0</v>
      </c>
      <c r="GO37" s="46">
        <f t="shared" ref="GO37:GP37" si="185">GO3+GO36+GO9+GO35</f>
        <v>-62237.510729613714</v>
      </c>
      <c r="GP37" s="46">
        <f t="shared" si="185"/>
        <v>-133366.09442060083</v>
      </c>
      <c r="GQ37" s="46">
        <f t="shared" ref="GQ37" si="186">GQ3+GQ36+GQ9+GQ35</f>
        <v>-137811.63090128751</v>
      </c>
      <c r="GR37" s="46">
        <f t="shared" ref="GR37" si="187">GR3+GR36+GR9+GR35</f>
        <v>-137811.63090128751</v>
      </c>
      <c r="GS37" s="46">
        <f t="shared" ref="GS37:GT37" si="188">GS3+GS36+GS9+GS35</f>
        <v>-128920.55793991413</v>
      </c>
      <c r="GT37" s="46">
        <f t="shared" si="188"/>
        <v>-137811.63090128751</v>
      </c>
      <c r="GU37" s="46">
        <f t="shared" ref="GU37" si="189">GU3+GU36+GU9+GU35</f>
        <v>-57791.974248927028</v>
      </c>
      <c r="GV37" s="46">
        <f t="shared" ref="GV37:GW37" si="190">GV3+GV36+GV9+GV35</f>
        <v>0</v>
      </c>
      <c r="GW37" s="46">
        <f t="shared" si="190"/>
        <v>0</v>
      </c>
      <c r="GX37" s="46">
        <f t="shared" ref="GX37" si="191">GX3+GX36+GX9+GX35</f>
        <v>0</v>
      </c>
      <c r="GY37" s="46">
        <f t="shared" ref="GY37" si="192">GY3+GY36+GY9+GY35</f>
        <v>0</v>
      </c>
      <c r="GZ37" s="46">
        <f t="shared" ref="GZ37:HA37" si="193">GZ3+GZ36+GZ9+GZ35</f>
        <v>0</v>
      </c>
      <c r="HA37" s="46">
        <f t="shared" si="193"/>
        <v>-62237.510729613714</v>
      </c>
      <c r="HB37" s="46">
        <f t="shared" ref="HB37" si="194">HB3+HB36+HB9+HB35</f>
        <v>-133366.09442060083</v>
      </c>
      <c r="HC37" s="46">
        <f t="shared" ref="HC37:HD37" si="195">HC3+HC36+HC9+HC35</f>
        <v>-137811.63090128751</v>
      </c>
      <c r="HD37" s="46">
        <f t="shared" si="195"/>
        <v>-137811.63090128751</v>
      </c>
      <c r="HE37" s="46">
        <f t="shared" ref="HE37" si="196">HE3+HE36+HE9+HE35</f>
        <v>-128920.55793991413</v>
      </c>
      <c r="HF37" s="46">
        <f t="shared" ref="HF37" si="197">HF3+HF36+HF9+HF35</f>
        <v>-137811.63090128751</v>
      </c>
      <c r="HG37" s="46">
        <f t="shared" ref="HG37:HH37" si="198">HG3+HG36+HG9+HG35</f>
        <v>-57791.974248927028</v>
      </c>
      <c r="HH37" s="46">
        <f t="shared" si="198"/>
        <v>0</v>
      </c>
      <c r="HI37" s="46">
        <f t="shared" ref="HI37" si="199">HI3+HI36+HI9+HI35</f>
        <v>0</v>
      </c>
      <c r="HJ37" s="46">
        <f t="shared" ref="HJ37:HK37" si="200">HJ3+HJ36+HJ9+HJ35</f>
        <v>0</v>
      </c>
      <c r="HK37" s="46">
        <f t="shared" si="200"/>
        <v>0</v>
      </c>
      <c r="HL37" s="46">
        <f t="shared" ref="HL37" si="201">HL3+HL36+HL9+HL35</f>
        <v>0</v>
      </c>
      <c r="HM37" s="46">
        <f t="shared" ref="HM37" si="202">HM3+HM36+HM9+HM35</f>
        <v>-62237.510729613714</v>
      </c>
      <c r="HN37" s="46">
        <f t="shared" ref="HN37:HO37" si="203">HN3+HN36+HN9+HN35</f>
        <v>-133366.09442060083</v>
      </c>
      <c r="HO37" s="46">
        <f t="shared" si="203"/>
        <v>-137811.63090128751</v>
      </c>
      <c r="HP37" s="46">
        <f t="shared" ref="HP37" si="204">HP3+HP36+HP9+HP35</f>
        <v>-137811.63090128751</v>
      </c>
      <c r="HQ37" s="46">
        <f t="shared" ref="HQ37:HR37" si="205">HQ3+HQ36+HQ9+HQ35</f>
        <v>-128920.55793991413</v>
      </c>
      <c r="HR37" s="46">
        <f t="shared" si="205"/>
        <v>-137811.63090128751</v>
      </c>
      <c r="HS37" s="46">
        <f t="shared" ref="HS37" si="206">HS3+HS36+HS9+HS35</f>
        <v>-57791.974248927028</v>
      </c>
      <c r="HT37" s="46">
        <f t="shared" ref="HT37" si="207">HT3+HT36+HT9+HT35</f>
        <v>0</v>
      </c>
      <c r="HU37" s="46">
        <f t="shared" ref="HU37:HV37" si="208">HU3+HU36+HU9+HU35</f>
        <v>0</v>
      </c>
      <c r="HV37" s="46">
        <f t="shared" si="208"/>
        <v>0</v>
      </c>
      <c r="HW37" s="46">
        <f t="shared" ref="HW37" si="209">HW3+HW36+HW9+HW35</f>
        <v>0</v>
      </c>
      <c r="HX37" s="46">
        <f t="shared" ref="HX37:HY37" si="210">HX3+HX36+HX9+HX35</f>
        <v>0</v>
      </c>
      <c r="HY37" s="46">
        <f t="shared" si="210"/>
        <v>-62237.510729613714</v>
      </c>
      <c r="HZ37" s="46">
        <f t="shared" ref="HZ37" si="211">HZ3+HZ36+HZ9+HZ35</f>
        <v>-133366.09442060083</v>
      </c>
      <c r="IA37" s="46">
        <f t="shared" ref="IA37" si="212">IA3+IA36+IA9+IA35</f>
        <v>-137811.63090128751</v>
      </c>
      <c r="IB37" s="46">
        <f t="shared" ref="IB37:IC37" si="213">IB3+IB36+IB9+IB35</f>
        <v>-137811.63090128751</v>
      </c>
      <c r="IC37" s="46">
        <f t="shared" si="213"/>
        <v>-128920.55793991413</v>
      </c>
      <c r="ID37" s="46">
        <f t="shared" ref="ID37" si="214">ID3+ID36+ID9+ID35</f>
        <v>-137811.63090128751</v>
      </c>
      <c r="IE37" s="46">
        <f t="shared" ref="IE37:IF37" si="215">IE3+IE36+IE9+IE35</f>
        <v>-57791.974248927028</v>
      </c>
      <c r="IF37" s="46">
        <f t="shared" si="215"/>
        <v>0</v>
      </c>
      <c r="IG37" s="46">
        <f t="shared" ref="IG37" si="216">IG3+IG36+IG9+IG35</f>
        <v>0</v>
      </c>
    </row>
    <row r="38" spans="1:241" ht="30" outlineLevel="1" x14ac:dyDescent="0.25">
      <c r="A38" s="57" t="s">
        <v>312</v>
      </c>
      <c r="B38" s="46">
        <f>B3+B36+B10+B11+B35</f>
        <v>-61762.982400000001</v>
      </c>
      <c r="C38" s="46">
        <f t="shared" ref="C38:BN38" si="217">C3+C36+C10+C11+C35</f>
        <v>1074.2148559999996</v>
      </c>
      <c r="D38" s="46">
        <f t="shared" si="217"/>
        <v>1074.2148559999996</v>
      </c>
      <c r="E38" s="46">
        <f t="shared" si="217"/>
        <v>-46336.2984064665</v>
      </c>
      <c r="F38" s="46">
        <f t="shared" si="217"/>
        <v>-31459.73188286135</v>
      </c>
      <c r="G38" s="46">
        <f t="shared" si="217"/>
        <v>-30529.946475136028</v>
      </c>
      <c r="H38" s="46">
        <f t="shared" si="217"/>
        <v>-29992.839047136029</v>
      </c>
      <c r="I38" s="46">
        <f t="shared" si="217"/>
        <v>-31852.409862586665</v>
      </c>
      <c r="J38" s="46">
        <f t="shared" si="217"/>
        <v>-29992.839047136029</v>
      </c>
      <c r="K38" s="46">
        <f t="shared" si="217"/>
        <v>-46728.976386191825</v>
      </c>
      <c r="L38" s="46">
        <f t="shared" si="217"/>
        <v>-58816.186686621011</v>
      </c>
      <c r="M38" s="46">
        <f t="shared" si="217"/>
        <v>-58816.186686621011</v>
      </c>
      <c r="N38" s="46">
        <f t="shared" si="217"/>
        <v>-58816.186686621011</v>
      </c>
      <c r="O38" s="46">
        <f t="shared" si="217"/>
        <v>-58816.186686621011</v>
      </c>
      <c r="P38" s="46">
        <f t="shared" si="217"/>
        <v>-58816.186686621011</v>
      </c>
      <c r="Q38" s="46">
        <f t="shared" si="217"/>
        <v>-39290.69312438924</v>
      </c>
      <c r="R38" s="46">
        <f t="shared" si="217"/>
        <v>-16975.843338981515</v>
      </c>
      <c r="S38" s="46">
        <f t="shared" si="217"/>
        <v>-15581.165227393527</v>
      </c>
      <c r="T38" s="46">
        <f t="shared" si="217"/>
        <v>-14775.504085393528</v>
      </c>
      <c r="U38" s="46">
        <f t="shared" si="217"/>
        <v>-18959.538420157471</v>
      </c>
      <c r="V38" s="46">
        <f t="shared" si="217"/>
        <v>-14775.504085393528</v>
      </c>
      <c r="W38" s="46">
        <f t="shared" si="217"/>
        <v>-38485.031982389242</v>
      </c>
      <c r="X38" s="46">
        <f t="shared" si="217"/>
        <v>-58010.525544621014</v>
      </c>
      <c r="Y38" s="46">
        <f t="shared" si="217"/>
        <v>-58010.525544621014</v>
      </c>
      <c r="Z38" s="46">
        <f t="shared" si="217"/>
        <v>-58010.525544621014</v>
      </c>
      <c r="AA38" s="46">
        <f t="shared" si="217"/>
        <v>-58010.525544621014</v>
      </c>
      <c r="AB38" s="46">
        <f t="shared" si="217"/>
        <v>-58010.525544621014</v>
      </c>
      <c r="AC38" s="46">
        <f t="shared" si="217"/>
        <v>-28722.285201273357</v>
      </c>
      <c r="AD38" s="46">
        <f t="shared" si="217"/>
        <v>4749.9894768382437</v>
      </c>
      <c r="AE38" s="46">
        <f t="shared" si="217"/>
        <v>6842.0066442202151</v>
      </c>
      <c r="AF38" s="46">
        <f t="shared" si="217"/>
        <v>6842.0066442202151</v>
      </c>
      <c r="AG38" s="46">
        <f t="shared" si="217"/>
        <v>565.95514207430142</v>
      </c>
      <c r="AH38" s="46">
        <f t="shared" si="217"/>
        <v>6842.0066442202151</v>
      </c>
      <c r="AI38" s="46">
        <f t="shared" si="217"/>
        <v>-28722.285201273357</v>
      </c>
      <c r="AJ38" s="46">
        <f t="shared" si="217"/>
        <v>-58010.525544621014</v>
      </c>
      <c r="AK38" s="46">
        <f t="shared" si="217"/>
        <v>-58010.525544621014</v>
      </c>
      <c r="AL38" s="46">
        <f t="shared" si="217"/>
        <v>-58010.525544621014</v>
      </c>
      <c r="AM38" s="46">
        <f t="shared" si="217"/>
        <v>-58010.525544621014</v>
      </c>
      <c r="AN38" s="46">
        <f t="shared" si="217"/>
        <v>-58010.525544621014</v>
      </c>
      <c r="AO38" s="46">
        <f t="shared" si="217"/>
        <v>-28722.285201273357</v>
      </c>
      <c r="AP38" s="46">
        <f t="shared" si="217"/>
        <v>4749.9894768382437</v>
      </c>
      <c r="AQ38" s="46">
        <f t="shared" si="217"/>
        <v>6842.0066442202151</v>
      </c>
      <c r="AR38" s="46">
        <f t="shared" si="217"/>
        <v>6842.0066442202151</v>
      </c>
      <c r="AS38" s="46">
        <f t="shared" si="217"/>
        <v>565.95514207430142</v>
      </c>
      <c r="AT38" s="46">
        <f t="shared" si="217"/>
        <v>6842.0066442202151</v>
      </c>
      <c r="AU38" s="46">
        <f t="shared" si="217"/>
        <v>-28722.285201273357</v>
      </c>
      <c r="AV38" s="46">
        <f t="shared" si="217"/>
        <v>-58010.525544621014</v>
      </c>
      <c r="AW38" s="46">
        <f t="shared" si="217"/>
        <v>-58010.525544621014</v>
      </c>
      <c r="AX38" s="46">
        <f t="shared" si="217"/>
        <v>-58010.525544621014</v>
      </c>
      <c r="AY38" s="46">
        <f t="shared" si="217"/>
        <v>-58010.525544621014</v>
      </c>
      <c r="AZ38" s="46">
        <f t="shared" si="217"/>
        <v>-58010.525544621014</v>
      </c>
      <c r="BA38" s="46">
        <f t="shared" si="217"/>
        <v>-28722.285201273357</v>
      </c>
      <c r="BB38" s="46">
        <f t="shared" si="217"/>
        <v>4749.9894768382437</v>
      </c>
      <c r="BC38" s="46">
        <f t="shared" si="217"/>
        <v>6842.0066442202151</v>
      </c>
      <c r="BD38" s="46">
        <f t="shared" si="217"/>
        <v>6842.0066442202151</v>
      </c>
      <c r="BE38" s="46">
        <f t="shared" si="217"/>
        <v>2657.9723094562582</v>
      </c>
      <c r="BF38" s="46">
        <f t="shared" si="217"/>
        <v>6842.0066442202151</v>
      </c>
      <c r="BG38" s="46">
        <f t="shared" si="217"/>
        <v>-30814.302368655342</v>
      </c>
      <c r="BH38" s="46">
        <f t="shared" si="217"/>
        <v>-58010.525544621014</v>
      </c>
      <c r="BI38" s="46">
        <f t="shared" si="217"/>
        <v>-58010.525544621014</v>
      </c>
      <c r="BJ38" s="46">
        <f t="shared" si="217"/>
        <v>-58010.525544621014</v>
      </c>
      <c r="BK38" s="46">
        <f t="shared" si="217"/>
        <v>-58010.525544621014</v>
      </c>
      <c r="BL38" s="46">
        <f t="shared" si="217"/>
        <v>-58010.525544621014</v>
      </c>
      <c r="BM38" s="46">
        <f t="shared" si="217"/>
        <v>31705.223769347656</v>
      </c>
      <c r="BN38" s="46">
        <f t="shared" si="217"/>
        <v>65177.498447459257</v>
      </c>
      <c r="BO38" s="46">
        <f t="shared" ref="BO38:DZ38" si="218">BO3+BO36+BO10+BO11+BO35</f>
        <v>67269.515614841235</v>
      </c>
      <c r="BP38" s="46">
        <f t="shared" si="218"/>
        <v>67269.515614841235</v>
      </c>
      <c r="BQ38" s="46">
        <f t="shared" si="218"/>
        <v>63085.481280077271</v>
      </c>
      <c r="BR38" s="46">
        <f t="shared" si="218"/>
        <v>67269.515614841235</v>
      </c>
      <c r="BS38" s="46">
        <f t="shared" si="218"/>
        <v>29613.20660196567</v>
      </c>
      <c r="BT38" s="46">
        <f t="shared" si="218"/>
        <v>2416.9834259999993</v>
      </c>
      <c r="BU38" s="46">
        <f t="shared" si="218"/>
        <v>2416.9834259999993</v>
      </c>
      <c r="BV38" s="46">
        <f t="shared" si="218"/>
        <v>2416.9834259999993</v>
      </c>
      <c r="BW38" s="46">
        <f t="shared" si="218"/>
        <v>2416.9834259999993</v>
      </c>
      <c r="BX38" s="46">
        <f t="shared" si="218"/>
        <v>2416.9834259999993</v>
      </c>
      <c r="BY38" s="46">
        <f t="shared" si="218"/>
        <v>31705.223769347656</v>
      </c>
      <c r="BZ38" s="46">
        <f t="shared" si="218"/>
        <v>65177.498447459257</v>
      </c>
      <c r="CA38" s="46">
        <f t="shared" si="218"/>
        <v>67269.515614841235</v>
      </c>
      <c r="CB38" s="46">
        <f t="shared" si="218"/>
        <v>67269.515614841235</v>
      </c>
      <c r="CC38" s="46">
        <f t="shared" si="218"/>
        <v>63085.481280077271</v>
      </c>
      <c r="CD38" s="46">
        <f t="shared" si="218"/>
        <v>67269.515614841235</v>
      </c>
      <c r="CE38" s="46">
        <f t="shared" si="218"/>
        <v>29613.20660196567</v>
      </c>
      <c r="CF38" s="46">
        <f t="shared" si="218"/>
        <v>2416.9834259999993</v>
      </c>
      <c r="CG38" s="46">
        <f t="shared" si="218"/>
        <v>2416.9834259999993</v>
      </c>
      <c r="CH38" s="46">
        <f t="shared" si="218"/>
        <v>2416.9834259999993</v>
      </c>
      <c r="CI38" s="46">
        <f t="shared" si="218"/>
        <v>2416.9834259999993</v>
      </c>
      <c r="CJ38" s="46">
        <f t="shared" si="218"/>
        <v>2416.9834259999993</v>
      </c>
      <c r="CK38" s="46">
        <f t="shared" si="218"/>
        <v>31705.223769347656</v>
      </c>
      <c r="CL38" s="46">
        <f t="shared" si="218"/>
        <v>65177.498447459257</v>
      </c>
      <c r="CM38" s="46">
        <f t="shared" si="218"/>
        <v>67269.515614841235</v>
      </c>
      <c r="CN38" s="46">
        <f t="shared" si="218"/>
        <v>67269.515614841235</v>
      </c>
      <c r="CO38" s="46">
        <f t="shared" si="218"/>
        <v>63085.481280077271</v>
      </c>
      <c r="CP38" s="46">
        <f t="shared" si="218"/>
        <v>67269.515614841235</v>
      </c>
      <c r="CQ38" s="46">
        <f t="shared" si="218"/>
        <v>29613.20660196567</v>
      </c>
      <c r="CR38" s="46">
        <f t="shared" si="218"/>
        <v>2416.9834259999993</v>
      </c>
      <c r="CS38" s="46">
        <f t="shared" si="218"/>
        <v>2416.9834259999993</v>
      </c>
      <c r="CT38" s="46">
        <f t="shared" si="218"/>
        <v>2416.9834259999993</v>
      </c>
      <c r="CU38" s="46">
        <f t="shared" si="218"/>
        <v>2416.9834259999993</v>
      </c>
      <c r="CV38" s="46">
        <f t="shared" si="218"/>
        <v>2416.9834259999993</v>
      </c>
      <c r="CW38" s="46">
        <f t="shared" si="218"/>
        <v>31705.223769347656</v>
      </c>
      <c r="CX38" s="46">
        <f t="shared" si="218"/>
        <v>65177.498447459257</v>
      </c>
      <c r="CY38" s="46">
        <f t="shared" si="218"/>
        <v>67269.515614841235</v>
      </c>
      <c r="CZ38" s="46">
        <f t="shared" si="218"/>
        <v>67269.515614841235</v>
      </c>
      <c r="DA38" s="46">
        <f t="shared" si="218"/>
        <v>63085.481280077271</v>
      </c>
      <c r="DB38" s="46">
        <f t="shared" si="218"/>
        <v>67269.515614841235</v>
      </c>
      <c r="DC38" s="46">
        <f t="shared" si="218"/>
        <v>29613.20660196567</v>
      </c>
      <c r="DD38" s="46">
        <f t="shared" si="218"/>
        <v>2416.9834259999993</v>
      </c>
      <c r="DE38" s="46">
        <f t="shared" si="218"/>
        <v>2416.9834259999993</v>
      </c>
      <c r="DF38" s="46">
        <f t="shared" si="218"/>
        <v>2416.9834259999993</v>
      </c>
      <c r="DG38" s="46">
        <f t="shared" si="218"/>
        <v>2416.9834259999993</v>
      </c>
      <c r="DH38" s="46">
        <f t="shared" si="218"/>
        <v>2416.9834259999993</v>
      </c>
      <c r="DI38" s="46">
        <f t="shared" si="218"/>
        <v>31705.223769347656</v>
      </c>
      <c r="DJ38" s="46">
        <f t="shared" si="218"/>
        <v>65177.498447459257</v>
      </c>
      <c r="DK38" s="46">
        <f t="shared" si="218"/>
        <v>67269.515614841235</v>
      </c>
      <c r="DL38" s="46">
        <f t="shared" si="218"/>
        <v>67269.515614841235</v>
      </c>
      <c r="DM38" s="46">
        <f t="shared" si="218"/>
        <v>63085.481280077271</v>
      </c>
      <c r="DN38" s="46">
        <f t="shared" si="218"/>
        <v>67269.515614841235</v>
      </c>
      <c r="DO38" s="46">
        <f t="shared" si="218"/>
        <v>29613.20660196567</v>
      </c>
      <c r="DP38" s="46">
        <f t="shared" si="218"/>
        <v>2416.9834259999993</v>
      </c>
      <c r="DQ38" s="46">
        <f t="shared" si="218"/>
        <v>2416.9834259999993</v>
      </c>
      <c r="DR38" s="46">
        <f t="shared" si="218"/>
        <v>2416.9834259999993</v>
      </c>
      <c r="DS38" s="46">
        <f t="shared" si="218"/>
        <v>2416.9834259999993</v>
      </c>
      <c r="DT38" s="46">
        <f t="shared" si="218"/>
        <v>2416.9834259999993</v>
      </c>
      <c r="DU38" s="46">
        <f t="shared" si="218"/>
        <v>31705.223769347656</v>
      </c>
      <c r="DV38" s="46">
        <f t="shared" si="218"/>
        <v>65177.498447459257</v>
      </c>
      <c r="DW38" s="46">
        <f t="shared" si="218"/>
        <v>67269.515614841235</v>
      </c>
      <c r="DX38" s="46">
        <f t="shared" si="218"/>
        <v>67269.515614841235</v>
      </c>
      <c r="DY38" s="46">
        <f t="shared" si="218"/>
        <v>63085.481280077271</v>
      </c>
      <c r="DZ38" s="46">
        <f t="shared" si="218"/>
        <v>67269.515614841235</v>
      </c>
      <c r="EA38" s="46">
        <f t="shared" ref="EA38:GL38" si="219">EA3+EA36+EA10+EA11+EA35</f>
        <v>29613.20660196567</v>
      </c>
      <c r="EB38" s="46">
        <f t="shared" si="219"/>
        <v>2416.9834259999993</v>
      </c>
      <c r="EC38" s="46">
        <f t="shared" si="219"/>
        <v>2416.9834259999993</v>
      </c>
      <c r="ED38" s="46">
        <f t="shared" si="219"/>
        <v>2416.9834259999993</v>
      </c>
      <c r="EE38" s="46">
        <f t="shared" si="219"/>
        <v>2416.9834259999993</v>
      </c>
      <c r="EF38" s="46">
        <f t="shared" si="219"/>
        <v>2416.9834259999993</v>
      </c>
      <c r="EG38" s="46">
        <f t="shared" si="219"/>
        <v>31705.223769347656</v>
      </c>
      <c r="EH38" s="46">
        <f t="shared" si="219"/>
        <v>65177.498447459257</v>
      </c>
      <c r="EI38" s="46">
        <f t="shared" si="219"/>
        <v>67269.515614841235</v>
      </c>
      <c r="EJ38" s="46">
        <f t="shared" si="219"/>
        <v>67269.515614841235</v>
      </c>
      <c r="EK38" s="46">
        <f t="shared" si="219"/>
        <v>63085.481280077271</v>
      </c>
      <c r="EL38" s="46">
        <f t="shared" si="219"/>
        <v>67269.515614841235</v>
      </c>
      <c r="EM38" s="46">
        <f t="shared" si="219"/>
        <v>29613.20660196567</v>
      </c>
      <c r="EN38" s="46">
        <f t="shared" si="219"/>
        <v>2416.9834259999993</v>
      </c>
      <c r="EO38" s="46">
        <f t="shared" si="219"/>
        <v>2416.9834259999993</v>
      </c>
      <c r="EP38" s="46">
        <f t="shared" si="219"/>
        <v>2416.9834259999993</v>
      </c>
      <c r="EQ38" s="46">
        <f t="shared" si="219"/>
        <v>2416.9834259999993</v>
      </c>
      <c r="ER38" s="46">
        <f t="shared" si="219"/>
        <v>2416.9834259999993</v>
      </c>
      <c r="ES38" s="46">
        <f t="shared" si="219"/>
        <v>31705.223769347656</v>
      </c>
      <c r="ET38" s="46">
        <f t="shared" si="219"/>
        <v>65177.498447459257</v>
      </c>
      <c r="EU38" s="46">
        <f t="shared" si="219"/>
        <v>67269.515614841235</v>
      </c>
      <c r="EV38" s="46">
        <f t="shared" si="219"/>
        <v>67269.515614841235</v>
      </c>
      <c r="EW38" s="46">
        <f t="shared" si="219"/>
        <v>63085.481280077271</v>
      </c>
      <c r="EX38" s="46">
        <f t="shared" si="219"/>
        <v>67269.515614841235</v>
      </c>
      <c r="EY38" s="46">
        <f t="shared" si="219"/>
        <v>29613.20660196567</v>
      </c>
      <c r="EZ38" s="46">
        <f t="shared" si="219"/>
        <v>2416.9834259999993</v>
      </c>
      <c r="FA38" s="46">
        <f t="shared" si="219"/>
        <v>2416.9834259999993</v>
      </c>
      <c r="FB38" s="46">
        <f t="shared" si="219"/>
        <v>2416.9834259999993</v>
      </c>
      <c r="FC38" s="46">
        <f t="shared" si="219"/>
        <v>2416.9834259999993</v>
      </c>
      <c r="FD38" s="46">
        <f t="shared" si="219"/>
        <v>2416.9834259999993</v>
      </c>
      <c r="FE38" s="46">
        <f t="shared" si="219"/>
        <v>31705.223769347656</v>
      </c>
      <c r="FF38" s="46">
        <f t="shared" si="219"/>
        <v>65177.498447459257</v>
      </c>
      <c r="FG38" s="46">
        <f t="shared" si="219"/>
        <v>67269.515614841235</v>
      </c>
      <c r="FH38" s="46">
        <f t="shared" si="219"/>
        <v>67269.515614841235</v>
      </c>
      <c r="FI38" s="46">
        <f t="shared" si="219"/>
        <v>63085.481280077271</v>
      </c>
      <c r="FJ38" s="46">
        <f t="shared" si="219"/>
        <v>67269.515614841235</v>
      </c>
      <c r="FK38" s="46">
        <f t="shared" si="219"/>
        <v>29613.20660196567</v>
      </c>
      <c r="FL38" s="46">
        <f t="shared" si="219"/>
        <v>2416.9834259999993</v>
      </c>
      <c r="FM38" s="46">
        <f t="shared" si="219"/>
        <v>2416.9834259999993</v>
      </c>
      <c r="FN38" s="46">
        <f t="shared" si="219"/>
        <v>2416.9834259999993</v>
      </c>
      <c r="FO38" s="46">
        <f t="shared" si="219"/>
        <v>2416.9834259999993</v>
      </c>
      <c r="FP38" s="46">
        <f t="shared" si="219"/>
        <v>2416.9834259999993</v>
      </c>
      <c r="FQ38" s="46">
        <f t="shared" si="219"/>
        <v>31705.223769347656</v>
      </c>
      <c r="FR38" s="46">
        <f t="shared" si="219"/>
        <v>65177.498447459257</v>
      </c>
      <c r="FS38" s="46">
        <f t="shared" si="219"/>
        <v>67269.515614841235</v>
      </c>
      <c r="FT38" s="46">
        <f t="shared" si="219"/>
        <v>67269.515614841235</v>
      </c>
      <c r="FU38" s="46">
        <f t="shared" si="219"/>
        <v>63085.481280077271</v>
      </c>
      <c r="FV38" s="46">
        <f t="shared" si="219"/>
        <v>67269.515614841235</v>
      </c>
      <c r="FW38" s="46">
        <f t="shared" si="219"/>
        <v>29613.20660196567</v>
      </c>
      <c r="FX38" s="46">
        <f t="shared" si="219"/>
        <v>2416.9834259999993</v>
      </c>
      <c r="FY38" s="46">
        <f t="shared" si="219"/>
        <v>2416.9834259999993</v>
      </c>
      <c r="FZ38" s="46">
        <f t="shared" si="219"/>
        <v>2416.9834259999993</v>
      </c>
      <c r="GA38" s="46">
        <f t="shared" si="219"/>
        <v>2416.9834259999993</v>
      </c>
      <c r="GB38" s="46">
        <f t="shared" si="219"/>
        <v>2416.9834259999993</v>
      </c>
      <c r="GC38" s="46">
        <f t="shared" si="219"/>
        <v>31705.223769347656</v>
      </c>
      <c r="GD38" s="46">
        <f t="shared" si="219"/>
        <v>65177.498447459257</v>
      </c>
      <c r="GE38" s="46">
        <f t="shared" si="219"/>
        <v>67269.515614841235</v>
      </c>
      <c r="GF38" s="46">
        <f t="shared" si="219"/>
        <v>67269.515614841235</v>
      </c>
      <c r="GG38" s="46">
        <f t="shared" si="219"/>
        <v>63085.481280077271</v>
      </c>
      <c r="GH38" s="46">
        <f t="shared" si="219"/>
        <v>67269.515614841235</v>
      </c>
      <c r="GI38" s="46">
        <f t="shared" si="219"/>
        <v>29613.20660196567</v>
      </c>
      <c r="GJ38" s="46">
        <f t="shared" si="219"/>
        <v>2416.9834259999993</v>
      </c>
      <c r="GK38" s="46">
        <f t="shared" si="219"/>
        <v>2416.9834259999993</v>
      </c>
      <c r="GL38" s="46">
        <f t="shared" si="219"/>
        <v>2416.9834259999993</v>
      </c>
      <c r="GM38" s="46">
        <f t="shared" ref="GM38:IG38" si="220">GM3+GM36+GM10+GM11+GM35</f>
        <v>2416.9834259999993</v>
      </c>
      <c r="GN38" s="46">
        <f t="shared" si="220"/>
        <v>2416.9834259999993</v>
      </c>
      <c r="GO38" s="46">
        <f t="shared" si="220"/>
        <v>31705.223769347656</v>
      </c>
      <c r="GP38" s="46">
        <f t="shared" si="220"/>
        <v>65177.498447459257</v>
      </c>
      <c r="GQ38" s="46">
        <f t="shared" si="220"/>
        <v>67269.515614841235</v>
      </c>
      <c r="GR38" s="46">
        <f t="shared" si="220"/>
        <v>67269.515614841235</v>
      </c>
      <c r="GS38" s="46">
        <f t="shared" si="220"/>
        <v>63085.481280077271</v>
      </c>
      <c r="GT38" s="46">
        <f t="shared" si="220"/>
        <v>67269.515614841235</v>
      </c>
      <c r="GU38" s="46">
        <f t="shared" si="220"/>
        <v>29613.20660196567</v>
      </c>
      <c r="GV38" s="46">
        <f t="shared" si="220"/>
        <v>2416.9834259999993</v>
      </c>
      <c r="GW38" s="46">
        <f t="shared" si="220"/>
        <v>2416.9834259999993</v>
      </c>
      <c r="GX38" s="46">
        <f t="shared" si="220"/>
        <v>2416.9834259999993</v>
      </c>
      <c r="GY38" s="46">
        <f t="shared" si="220"/>
        <v>2416.9834259999993</v>
      </c>
      <c r="GZ38" s="46">
        <f t="shared" si="220"/>
        <v>2416.9834259999993</v>
      </c>
      <c r="HA38" s="46">
        <f t="shared" si="220"/>
        <v>31705.223769347656</v>
      </c>
      <c r="HB38" s="46">
        <f t="shared" si="220"/>
        <v>65177.498447459257</v>
      </c>
      <c r="HC38" s="46">
        <f t="shared" si="220"/>
        <v>67269.515614841235</v>
      </c>
      <c r="HD38" s="46">
        <f t="shared" si="220"/>
        <v>67269.515614841235</v>
      </c>
      <c r="HE38" s="46">
        <f t="shared" si="220"/>
        <v>63085.481280077271</v>
      </c>
      <c r="HF38" s="46">
        <f t="shared" si="220"/>
        <v>67269.515614841235</v>
      </c>
      <c r="HG38" s="46">
        <f t="shared" si="220"/>
        <v>29613.20660196567</v>
      </c>
      <c r="HH38" s="46">
        <f t="shared" si="220"/>
        <v>2416.9834259999993</v>
      </c>
      <c r="HI38" s="46">
        <f t="shared" si="220"/>
        <v>2416.9834259999993</v>
      </c>
      <c r="HJ38" s="46">
        <f t="shared" si="220"/>
        <v>2416.9834259999993</v>
      </c>
      <c r="HK38" s="46">
        <f t="shared" si="220"/>
        <v>2416.9834259999993</v>
      </c>
      <c r="HL38" s="46">
        <f t="shared" si="220"/>
        <v>2416.9834259999993</v>
      </c>
      <c r="HM38" s="46">
        <f t="shared" si="220"/>
        <v>31705.223769347656</v>
      </c>
      <c r="HN38" s="46">
        <f t="shared" si="220"/>
        <v>65177.498447459257</v>
      </c>
      <c r="HO38" s="46">
        <f t="shared" si="220"/>
        <v>67269.515614841235</v>
      </c>
      <c r="HP38" s="46">
        <f t="shared" si="220"/>
        <v>67269.515614841235</v>
      </c>
      <c r="HQ38" s="46">
        <f t="shared" si="220"/>
        <v>63085.481280077271</v>
      </c>
      <c r="HR38" s="46">
        <f t="shared" si="220"/>
        <v>67269.515614841235</v>
      </c>
      <c r="HS38" s="46">
        <f t="shared" si="220"/>
        <v>29613.20660196567</v>
      </c>
      <c r="HT38" s="46">
        <f t="shared" si="220"/>
        <v>2416.9834259999993</v>
      </c>
      <c r="HU38" s="46">
        <f t="shared" si="220"/>
        <v>2416.9834259999993</v>
      </c>
      <c r="HV38" s="46">
        <f t="shared" si="220"/>
        <v>2416.9834259999993</v>
      </c>
      <c r="HW38" s="46">
        <f t="shared" si="220"/>
        <v>2416.9834259999993</v>
      </c>
      <c r="HX38" s="46">
        <f t="shared" si="220"/>
        <v>2416.9834259999993</v>
      </c>
      <c r="HY38" s="46">
        <f t="shared" si="220"/>
        <v>31705.223769347656</v>
      </c>
      <c r="HZ38" s="46">
        <f t="shared" si="220"/>
        <v>65177.498447459257</v>
      </c>
      <c r="IA38" s="46">
        <f t="shared" si="220"/>
        <v>67269.515614841235</v>
      </c>
      <c r="IB38" s="46">
        <f t="shared" si="220"/>
        <v>67269.515614841235</v>
      </c>
      <c r="IC38" s="46">
        <f t="shared" si="220"/>
        <v>63085.481280077271</v>
      </c>
      <c r="ID38" s="46">
        <f t="shared" si="220"/>
        <v>67269.515614841235</v>
      </c>
      <c r="IE38" s="46">
        <f t="shared" si="220"/>
        <v>29613.20660196567</v>
      </c>
      <c r="IF38" s="46">
        <f t="shared" si="220"/>
        <v>2416.9834259999993</v>
      </c>
      <c r="IG38" s="46">
        <f t="shared" si="220"/>
        <v>2416.9834259999993</v>
      </c>
    </row>
    <row r="39" spans="1:241" ht="30" outlineLevel="1" x14ac:dyDescent="0.25">
      <c r="A39" s="57" t="s">
        <v>311</v>
      </c>
      <c r="B39" s="46">
        <f>B38</f>
        <v>-61762.982400000001</v>
      </c>
      <c r="C39" s="46">
        <f t="shared" ref="C39:BN39" si="221">B39+C38</f>
        <v>-60688.767544000002</v>
      </c>
      <c r="D39" s="46">
        <f t="shared" si="221"/>
        <v>-59614.552688000003</v>
      </c>
      <c r="E39" s="46">
        <f t="shared" si="221"/>
        <v>-105950.8510944665</v>
      </c>
      <c r="F39" s="46">
        <f t="shared" si="221"/>
        <v>-137410.58297732787</v>
      </c>
      <c r="G39" s="46">
        <f t="shared" si="221"/>
        <v>-167940.5294524639</v>
      </c>
      <c r="H39" s="46">
        <f t="shared" si="221"/>
        <v>-197933.36849959992</v>
      </c>
      <c r="I39" s="46">
        <f t="shared" si="221"/>
        <v>-229785.7783621866</v>
      </c>
      <c r="J39" s="46">
        <f t="shared" si="221"/>
        <v>-259778.61740932261</v>
      </c>
      <c r="K39" s="46">
        <f t="shared" si="221"/>
        <v>-306507.59379551443</v>
      </c>
      <c r="L39" s="46">
        <f t="shared" si="221"/>
        <v>-365323.78048213542</v>
      </c>
      <c r="M39" s="46">
        <f t="shared" si="221"/>
        <v>-424139.96716875641</v>
      </c>
      <c r="N39" s="46">
        <f t="shared" si="221"/>
        <v>-482956.1538553774</v>
      </c>
      <c r="O39" s="46">
        <f t="shared" si="221"/>
        <v>-541772.34054199839</v>
      </c>
      <c r="P39" s="46">
        <f t="shared" si="221"/>
        <v>-600588.52722861944</v>
      </c>
      <c r="Q39" s="46">
        <f t="shared" si="221"/>
        <v>-639879.22035300871</v>
      </c>
      <c r="R39" s="46">
        <f t="shared" si="221"/>
        <v>-656855.06369199022</v>
      </c>
      <c r="S39" s="46">
        <f t="shared" si="221"/>
        <v>-672436.22891938372</v>
      </c>
      <c r="T39" s="46">
        <f t="shared" si="221"/>
        <v>-687211.73300477723</v>
      </c>
      <c r="U39" s="46">
        <f t="shared" si="221"/>
        <v>-706171.27142493473</v>
      </c>
      <c r="V39" s="46">
        <f t="shared" si="221"/>
        <v>-720946.77551032824</v>
      </c>
      <c r="W39" s="46">
        <f t="shared" si="221"/>
        <v>-759431.80749271752</v>
      </c>
      <c r="X39" s="46">
        <f t="shared" si="221"/>
        <v>-817442.33303733857</v>
      </c>
      <c r="Y39" s="46">
        <f t="shared" si="221"/>
        <v>-875452.85858195962</v>
      </c>
      <c r="Z39" s="46">
        <f t="shared" si="221"/>
        <v>-933463.38412658067</v>
      </c>
      <c r="AA39" s="46">
        <f t="shared" si="221"/>
        <v>-991473.90967120172</v>
      </c>
      <c r="AB39" s="46">
        <f t="shared" si="221"/>
        <v>-1049484.4352158227</v>
      </c>
      <c r="AC39" s="46">
        <f t="shared" si="221"/>
        <v>-1078206.720417096</v>
      </c>
      <c r="AD39" s="46">
        <f t="shared" si="221"/>
        <v>-1073456.7309402579</v>
      </c>
      <c r="AE39" s="46">
        <f t="shared" si="221"/>
        <v>-1066614.7242960376</v>
      </c>
      <c r="AF39" s="46">
        <f t="shared" si="221"/>
        <v>-1059772.7176518172</v>
      </c>
      <c r="AG39" s="46">
        <f t="shared" si="221"/>
        <v>-1059206.762509743</v>
      </c>
      <c r="AH39" s="46">
        <f t="shared" si="221"/>
        <v>-1052364.7558655227</v>
      </c>
      <c r="AI39" s="46">
        <f t="shared" si="221"/>
        <v>-1081087.0410667961</v>
      </c>
      <c r="AJ39" s="46">
        <f t="shared" si="221"/>
        <v>-1139097.5666114171</v>
      </c>
      <c r="AK39" s="46">
        <f t="shared" si="221"/>
        <v>-1197108.0921560382</v>
      </c>
      <c r="AL39" s="46">
        <f t="shared" si="221"/>
        <v>-1255118.6177006592</v>
      </c>
      <c r="AM39" s="46">
        <f t="shared" si="221"/>
        <v>-1313129.1432452803</v>
      </c>
      <c r="AN39" s="46">
        <f t="shared" si="221"/>
        <v>-1371139.6687899013</v>
      </c>
      <c r="AO39" s="46">
        <f t="shared" si="221"/>
        <v>-1399861.9539911747</v>
      </c>
      <c r="AP39" s="46">
        <f t="shared" si="221"/>
        <v>-1395111.9645143365</v>
      </c>
      <c r="AQ39" s="46">
        <f t="shared" si="221"/>
        <v>-1388269.9578701162</v>
      </c>
      <c r="AR39" s="46">
        <f t="shared" si="221"/>
        <v>-1381427.9512258959</v>
      </c>
      <c r="AS39" s="46">
        <f t="shared" si="221"/>
        <v>-1380861.9960838216</v>
      </c>
      <c r="AT39" s="46">
        <f t="shared" si="221"/>
        <v>-1374019.9894396013</v>
      </c>
      <c r="AU39" s="46">
        <f t="shared" si="221"/>
        <v>-1402742.2746408747</v>
      </c>
      <c r="AV39" s="46">
        <f t="shared" si="221"/>
        <v>-1460752.8001854958</v>
      </c>
      <c r="AW39" s="46">
        <f t="shared" si="221"/>
        <v>-1518763.3257301168</v>
      </c>
      <c r="AX39" s="46">
        <f t="shared" si="221"/>
        <v>-1576773.8512747379</v>
      </c>
      <c r="AY39" s="46">
        <f t="shared" si="221"/>
        <v>-1634784.3768193589</v>
      </c>
      <c r="AZ39" s="46">
        <f t="shared" si="221"/>
        <v>-1692794.90236398</v>
      </c>
      <c r="BA39" s="46">
        <f t="shared" si="221"/>
        <v>-1721517.1875652533</v>
      </c>
      <c r="BB39" s="46">
        <f t="shared" si="221"/>
        <v>-1716767.1980884152</v>
      </c>
      <c r="BC39" s="46">
        <f t="shared" si="221"/>
        <v>-1709925.1914441949</v>
      </c>
      <c r="BD39" s="46">
        <f t="shared" si="221"/>
        <v>-1703083.1847999746</v>
      </c>
      <c r="BE39" s="46">
        <f t="shared" si="221"/>
        <v>-1700425.2124905183</v>
      </c>
      <c r="BF39" s="46">
        <f t="shared" si="221"/>
        <v>-1693583.205846298</v>
      </c>
      <c r="BG39" s="46">
        <f t="shared" si="221"/>
        <v>-1724397.5082149534</v>
      </c>
      <c r="BH39" s="46">
        <f t="shared" si="221"/>
        <v>-1782408.0337595744</v>
      </c>
      <c r="BI39" s="46">
        <f t="shared" si="221"/>
        <v>-1840418.5593041955</v>
      </c>
      <c r="BJ39" s="46">
        <f t="shared" si="221"/>
        <v>-1898429.0848488165</v>
      </c>
      <c r="BK39" s="46">
        <f t="shared" si="221"/>
        <v>-1956439.6103934376</v>
      </c>
      <c r="BL39" s="46">
        <f t="shared" si="221"/>
        <v>-2014450.1359380586</v>
      </c>
      <c r="BM39" s="46">
        <f t="shared" si="221"/>
        <v>-1982744.912168711</v>
      </c>
      <c r="BN39" s="46">
        <f t="shared" si="221"/>
        <v>-1917567.4137212518</v>
      </c>
      <c r="BO39" s="46">
        <f t="shared" ref="BO39:DZ39" si="222">BN39+BO38</f>
        <v>-1850297.8981064106</v>
      </c>
      <c r="BP39" s="46">
        <f t="shared" si="222"/>
        <v>-1783028.3824915695</v>
      </c>
      <c r="BQ39" s="46">
        <f t="shared" si="222"/>
        <v>-1719942.9012114923</v>
      </c>
      <c r="BR39" s="46">
        <f t="shared" si="222"/>
        <v>-1652673.3855966511</v>
      </c>
      <c r="BS39" s="46">
        <f t="shared" si="222"/>
        <v>-1623060.1789946854</v>
      </c>
      <c r="BT39" s="46">
        <f t="shared" si="222"/>
        <v>-1620643.1955686854</v>
      </c>
      <c r="BU39" s="46">
        <f t="shared" si="222"/>
        <v>-1618226.2121426854</v>
      </c>
      <c r="BV39" s="46">
        <f t="shared" si="222"/>
        <v>-1615809.2287166854</v>
      </c>
      <c r="BW39" s="46">
        <f t="shared" si="222"/>
        <v>-1613392.2452906854</v>
      </c>
      <c r="BX39" s="46">
        <f t="shared" si="222"/>
        <v>-1610975.2618646855</v>
      </c>
      <c r="BY39" s="46">
        <f t="shared" si="222"/>
        <v>-1579270.0380953378</v>
      </c>
      <c r="BZ39" s="46">
        <f t="shared" si="222"/>
        <v>-1514092.5396478786</v>
      </c>
      <c r="CA39" s="46">
        <f t="shared" si="222"/>
        <v>-1446823.0240330375</v>
      </c>
      <c r="CB39" s="46">
        <f t="shared" si="222"/>
        <v>-1379553.5084181963</v>
      </c>
      <c r="CC39" s="46">
        <f t="shared" si="222"/>
        <v>-1316468.0271381191</v>
      </c>
      <c r="CD39" s="46">
        <f t="shared" si="222"/>
        <v>-1249198.511523278</v>
      </c>
      <c r="CE39" s="46">
        <f t="shared" si="222"/>
        <v>-1219585.3049213123</v>
      </c>
      <c r="CF39" s="46">
        <f t="shared" si="222"/>
        <v>-1217168.3214953123</v>
      </c>
      <c r="CG39" s="46">
        <f t="shared" si="222"/>
        <v>-1214751.3380693123</v>
      </c>
      <c r="CH39" s="46">
        <f t="shared" si="222"/>
        <v>-1212334.3546433123</v>
      </c>
      <c r="CI39" s="46">
        <f t="shared" si="222"/>
        <v>-1209917.3712173123</v>
      </c>
      <c r="CJ39" s="46">
        <f t="shared" si="222"/>
        <v>-1207500.3877913123</v>
      </c>
      <c r="CK39" s="46">
        <f t="shared" si="222"/>
        <v>-1175795.1640219647</v>
      </c>
      <c r="CL39" s="46">
        <f t="shared" si="222"/>
        <v>-1110617.6655745055</v>
      </c>
      <c r="CM39" s="46">
        <f t="shared" si="222"/>
        <v>-1043348.1499596642</v>
      </c>
      <c r="CN39" s="46">
        <f t="shared" si="222"/>
        <v>-976078.63434482296</v>
      </c>
      <c r="CO39" s="46">
        <f t="shared" si="222"/>
        <v>-912993.15306474571</v>
      </c>
      <c r="CP39" s="46">
        <f t="shared" si="222"/>
        <v>-845723.63744990446</v>
      </c>
      <c r="CQ39" s="46">
        <f t="shared" si="222"/>
        <v>-816110.43084793875</v>
      </c>
      <c r="CR39" s="46">
        <f t="shared" si="222"/>
        <v>-813693.44742193876</v>
      </c>
      <c r="CS39" s="46">
        <f t="shared" si="222"/>
        <v>-811276.46399593877</v>
      </c>
      <c r="CT39" s="46">
        <f t="shared" si="222"/>
        <v>-808859.48056993878</v>
      </c>
      <c r="CU39" s="46">
        <f t="shared" si="222"/>
        <v>-806442.49714393879</v>
      </c>
      <c r="CV39" s="46">
        <f t="shared" si="222"/>
        <v>-804025.5137179388</v>
      </c>
      <c r="CW39" s="46">
        <f t="shared" si="222"/>
        <v>-772320.28994859115</v>
      </c>
      <c r="CX39" s="46">
        <f t="shared" si="222"/>
        <v>-707142.79150113184</v>
      </c>
      <c r="CY39" s="46">
        <f t="shared" si="222"/>
        <v>-639873.27588629059</v>
      </c>
      <c r="CZ39" s="46">
        <f t="shared" si="222"/>
        <v>-572603.76027144934</v>
      </c>
      <c r="DA39" s="46">
        <f t="shared" si="222"/>
        <v>-509518.27899137209</v>
      </c>
      <c r="DB39" s="46">
        <f t="shared" si="222"/>
        <v>-442248.76337653084</v>
      </c>
      <c r="DC39" s="46">
        <f t="shared" si="222"/>
        <v>-412635.55677456519</v>
      </c>
      <c r="DD39" s="46">
        <f t="shared" si="222"/>
        <v>-410218.5733485652</v>
      </c>
      <c r="DE39" s="46">
        <f t="shared" si="222"/>
        <v>-407801.58992256521</v>
      </c>
      <c r="DF39" s="46">
        <f t="shared" si="222"/>
        <v>-405384.60649656522</v>
      </c>
      <c r="DG39" s="46">
        <f t="shared" si="222"/>
        <v>-402967.62307056523</v>
      </c>
      <c r="DH39" s="46">
        <f t="shared" si="222"/>
        <v>-400550.63964456524</v>
      </c>
      <c r="DI39" s="46">
        <f t="shared" si="222"/>
        <v>-368845.41587521759</v>
      </c>
      <c r="DJ39" s="46">
        <f t="shared" si="222"/>
        <v>-303667.91742775834</v>
      </c>
      <c r="DK39" s="46">
        <f t="shared" si="222"/>
        <v>-236398.40181291709</v>
      </c>
      <c r="DL39" s="46">
        <f t="shared" si="222"/>
        <v>-169128.88619807584</v>
      </c>
      <c r="DM39" s="46">
        <f t="shared" si="222"/>
        <v>-106043.40491799856</v>
      </c>
      <c r="DN39" s="46">
        <f t="shared" si="222"/>
        <v>-38773.889303157324</v>
      </c>
      <c r="DO39" s="46">
        <f t="shared" si="222"/>
        <v>-9160.6827011916539</v>
      </c>
      <c r="DP39" s="46">
        <f t="shared" si="222"/>
        <v>-6743.699275191655</v>
      </c>
      <c r="DQ39" s="46">
        <f t="shared" si="222"/>
        <v>-4326.7158491916562</v>
      </c>
      <c r="DR39" s="46">
        <f t="shared" si="222"/>
        <v>-1909.7324231916568</v>
      </c>
      <c r="DS39" s="46">
        <f t="shared" si="222"/>
        <v>507.25100280834249</v>
      </c>
      <c r="DT39" s="46">
        <f t="shared" si="222"/>
        <v>2924.2344288083418</v>
      </c>
      <c r="DU39" s="46">
        <f t="shared" si="222"/>
        <v>34629.458198155997</v>
      </c>
      <c r="DV39" s="46">
        <f t="shared" si="222"/>
        <v>99806.956645615253</v>
      </c>
      <c r="DW39" s="46">
        <f t="shared" si="222"/>
        <v>167076.47226045647</v>
      </c>
      <c r="DX39" s="46">
        <f t="shared" si="222"/>
        <v>234345.98787529772</v>
      </c>
      <c r="DY39" s="46">
        <f t="shared" si="222"/>
        <v>297431.46915537497</v>
      </c>
      <c r="DZ39" s="46">
        <f t="shared" si="222"/>
        <v>364700.98477021622</v>
      </c>
      <c r="EA39" s="46">
        <f t="shared" ref="EA39:GL39" si="223">DZ39+EA38</f>
        <v>394314.19137218187</v>
      </c>
      <c r="EB39" s="46">
        <f t="shared" si="223"/>
        <v>396731.17479818186</v>
      </c>
      <c r="EC39" s="46">
        <f t="shared" si="223"/>
        <v>399148.15822418185</v>
      </c>
      <c r="ED39" s="46">
        <f t="shared" si="223"/>
        <v>401565.14165018185</v>
      </c>
      <c r="EE39" s="46">
        <f t="shared" si="223"/>
        <v>403982.12507618184</v>
      </c>
      <c r="EF39" s="46">
        <f t="shared" si="223"/>
        <v>406399.10850218183</v>
      </c>
      <c r="EG39" s="46">
        <f t="shared" si="223"/>
        <v>438104.33227152948</v>
      </c>
      <c r="EH39" s="46">
        <f t="shared" si="223"/>
        <v>503281.83071898873</v>
      </c>
      <c r="EI39" s="46">
        <f t="shared" si="223"/>
        <v>570551.34633382992</v>
      </c>
      <c r="EJ39" s="46">
        <f t="shared" si="223"/>
        <v>637820.86194867117</v>
      </c>
      <c r="EK39" s="46">
        <f t="shared" si="223"/>
        <v>700906.34322874842</v>
      </c>
      <c r="EL39" s="46">
        <f t="shared" si="223"/>
        <v>768175.85884358967</v>
      </c>
      <c r="EM39" s="46">
        <f t="shared" si="223"/>
        <v>797789.06544555537</v>
      </c>
      <c r="EN39" s="46">
        <f t="shared" si="223"/>
        <v>800206.04887155537</v>
      </c>
      <c r="EO39" s="46">
        <f t="shared" si="223"/>
        <v>802623.03229755536</v>
      </c>
      <c r="EP39" s="46">
        <f t="shared" si="223"/>
        <v>805040.01572355535</v>
      </c>
      <c r="EQ39" s="46">
        <f t="shared" si="223"/>
        <v>807456.99914955534</v>
      </c>
      <c r="ER39" s="46">
        <f t="shared" si="223"/>
        <v>809873.98257555533</v>
      </c>
      <c r="ES39" s="46">
        <f t="shared" si="223"/>
        <v>841579.20634490298</v>
      </c>
      <c r="ET39" s="46">
        <f t="shared" si="223"/>
        <v>906756.70479236229</v>
      </c>
      <c r="EU39" s="46">
        <f t="shared" si="223"/>
        <v>974026.22040720354</v>
      </c>
      <c r="EV39" s="46">
        <f t="shared" si="223"/>
        <v>1041295.7360220448</v>
      </c>
      <c r="EW39" s="46">
        <f t="shared" si="223"/>
        <v>1104381.2173021222</v>
      </c>
      <c r="EX39" s="46">
        <f t="shared" si="223"/>
        <v>1171650.7329169633</v>
      </c>
      <c r="EY39" s="46">
        <f t="shared" si="223"/>
        <v>1201263.939518929</v>
      </c>
      <c r="EZ39" s="46">
        <f t="shared" si="223"/>
        <v>1203680.922944929</v>
      </c>
      <c r="FA39" s="46">
        <f t="shared" si="223"/>
        <v>1206097.906370929</v>
      </c>
      <c r="FB39" s="46">
        <f t="shared" si="223"/>
        <v>1208514.889796929</v>
      </c>
      <c r="FC39" s="46">
        <f t="shared" si="223"/>
        <v>1210931.873222929</v>
      </c>
      <c r="FD39" s="46">
        <f t="shared" si="223"/>
        <v>1213348.856648929</v>
      </c>
      <c r="FE39" s="46">
        <f t="shared" si="223"/>
        <v>1245054.0804182766</v>
      </c>
      <c r="FF39" s="46">
        <f t="shared" si="223"/>
        <v>1310231.5788657358</v>
      </c>
      <c r="FG39" s="46">
        <f t="shared" si="223"/>
        <v>1377501.0944805769</v>
      </c>
      <c r="FH39" s="46">
        <f t="shared" si="223"/>
        <v>1444770.6100954181</v>
      </c>
      <c r="FI39" s="46">
        <f t="shared" si="223"/>
        <v>1507856.0913754953</v>
      </c>
      <c r="FJ39" s="46">
        <f t="shared" si="223"/>
        <v>1575125.6069903364</v>
      </c>
      <c r="FK39" s="46">
        <f t="shared" si="223"/>
        <v>1604738.8135923021</v>
      </c>
      <c r="FL39" s="46">
        <f t="shared" si="223"/>
        <v>1607155.7970183021</v>
      </c>
      <c r="FM39" s="46">
        <f t="shared" si="223"/>
        <v>1609572.7804443021</v>
      </c>
      <c r="FN39" s="46">
        <f t="shared" si="223"/>
        <v>1611989.7638703021</v>
      </c>
      <c r="FO39" s="46">
        <f t="shared" si="223"/>
        <v>1614406.7472963021</v>
      </c>
      <c r="FP39" s="46">
        <f t="shared" si="223"/>
        <v>1616823.7307223021</v>
      </c>
      <c r="FQ39" s="46">
        <f t="shared" si="223"/>
        <v>1648528.9544916498</v>
      </c>
      <c r="FR39" s="46">
        <f t="shared" si="223"/>
        <v>1713706.4529391089</v>
      </c>
      <c r="FS39" s="46">
        <f t="shared" si="223"/>
        <v>1780975.9685539501</v>
      </c>
      <c r="FT39" s="46">
        <f t="shared" si="223"/>
        <v>1848245.4841687912</v>
      </c>
      <c r="FU39" s="46">
        <f t="shared" si="223"/>
        <v>1911330.9654488685</v>
      </c>
      <c r="FV39" s="46">
        <f t="shared" si="223"/>
        <v>1978600.4810637096</v>
      </c>
      <c r="FW39" s="46">
        <f t="shared" si="223"/>
        <v>2008213.6876656753</v>
      </c>
      <c r="FX39" s="46">
        <f t="shared" si="223"/>
        <v>2010630.6710916753</v>
      </c>
      <c r="FY39" s="46">
        <f t="shared" si="223"/>
        <v>2013047.6545176753</v>
      </c>
      <c r="FZ39" s="46">
        <f t="shared" si="223"/>
        <v>2015464.6379436753</v>
      </c>
      <c r="GA39" s="46">
        <f t="shared" si="223"/>
        <v>2017881.6213696753</v>
      </c>
      <c r="GB39" s="46">
        <f t="shared" si="223"/>
        <v>2020298.6047956753</v>
      </c>
      <c r="GC39" s="46">
        <f t="shared" si="223"/>
        <v>2052003.8285650229</v>
      </c>
      <c r="GD39" s="46">
        <f t="shared" si="223"/>
        <v>2117181.3270124821</v>
      </c>
      <c r="GE39" s="46">
        <f t="shared" si="223"/>
        <v>2184450.8426273232</v>
      </c>
      <c r="GF39" s="46">
        <f t="shared" si="223"/>
        <v>2251720.3582421644</v>
      </c>
      <c r="GG39" s="46">
        <f t="shared" si="223"/>
        <v>2314805.8395222416</v>
      </c>
      <c r="GH39" s="46">
        <f t="shared" si="223"/>
        <v>2382075.3551370827</v>
      </c>
      <c r="GI39" s="46">
        <f t="shared" si="223"/>
        <v>2411688.5617390485</v>
      </c>
      <c r="GJ39" s="46">
        <f t="shared" si="223"/>
        <v>2414105.5451650484</v>
      </c>
      <c r="GK39" s="46">
        <f t="shared" si="223"/>
        <v>2416522.5285910484</v>
      </c>
      <c r="GL39" s="46">
        <f t="shared" si="223"/>
        <v>2418939.5120170484</v>
      </c>
      <c r="GM39" s="46">
        <f t="shared" ref="GM39:IG39" si="224">GL39+GM38</f>
        <v>2421356.4954430484</v>
      </c>
      <c r="GN39" s="46">
        <f t="shared" si="224"/>
        <v>2423773.4788690484</v>
      </c>
      <c r="GO39" s="46">
        <f t="shared" si="224"/>
        <v>2455478.7026383961</v>
      </c>
      <c r="GP39" s="46">
        <f t="shared" si="224"/>
        <v>2520656.2010858553</v>
      </c>
      <c r="GQ39" s="46">
        <f t="shared" si="224"/>
        <v>2587925.7167006964</v>
      </c>
      <c r="GR39" s="46">
        <f t="shared" si="224"/>
        <v>2655195.2323155375</v>
      </c>
      <c r="GS39" s="46">
        <f t="shared" si="224"/>
        <v>2718280.7135956148</v>
      </c>
      <c r="GT39" s="46">
        <f t="shared" si="224"/>
        <v>2785550.2292104559</v>
      </c>
      <c r="GU39" s="46">
        <f t="shared" si="224"/>
        <v>2815163.4358124216</v>
      </c>
      <c r="GV39" s="46">
        <f t="shared" si="224"/>
        <v>2817580.4192384216</v>
      </c>
      <c r="GW39" s="46">
        <f t="shared" si="224"/>
        <v>2819997.4026644216</v>
      </c>
      <c r="GX39" s="46">
        <f t="shared" si="224"/>
        <v>2822414.3860904216</v>
      </c>
      <c r="GY39" s="46">
        <f t="shared" si="224"/>
        <v>2824831.3695164216</v>
      </c>
      <c r="GZ39" s="46">
        <f t="shared" si="224"/>
        <v>2827248.3529424216</v>
      </c>
      <c r="HA39" s="46">
        <f t="shared" si="224"/>
        <v>2858953.5767117692</v>
      </c>
      <c r="HB39" s="46">
        <f t="shared" si="224"/>
        <v>2924131.0751592284</v>
      </c>
      <c r="HC39" s="46">
        <f t="shared" si="224"/>
        <v>2991400.5907740695</v>
      </c>
      <c r="HD39" s="46">
        <f t="shared" si="224"/>
        <v>3058670.1063889107</v>
      </c>
      <c r="HE39" s="46">
        <f t="shared" si="224"/>
        <v>3121755.5876689879</v>
      </c>
      <c r="HF39" s="46">
        <f t="shared" si="224"/>
        <v>3189025.1032838291</v>
      </c>
      <c r="HG39" s="46">
        <f t="shared" si="224"/>
        <v>3218638.3098857948</v>
      </c>
      <c r="HH39" s="46">
        <f t="shared" si="224"/>
        <v>3221055.2933117948</v>
      </c>
      <c r="HI39" s="46">
        <f t="shared" si="224"/>
        <v>3223472.2767377947</v>
      </c>
      <c r="HJ39" s="46">
        <f t="shared" si="224"/>
        <v>3225889.2601637947</v>
      </c>
      <c r="HK39" s="46">
        <f t="shared" si="224"/>
        <v>3228306.2435897947</v>
      </c>
      <c r="HL39" s="46">
        <f t="shared" si="224"/>
        <v>3230723.2270157947</v>
      </c>
      <c r="HM39" s="46">
        <f t="shared" si="224"/>
        <v>3262428.4507851424</v>
      </c>
      <c r="HN39" s="46">
        <f t="shared" si="224"/>
        <v>3327605.9492326016</v>
      </c>
      <c r="HO39" s="46">
        <f t="shared" si="224"/>
        <v>3394875.4648474427</v>
      </c>
      <c r="HP39" s="46">
        <f t="shared" si="224"/>
        <v>3462144.9804622838</v>
      </c>
      <c r="HQ39" s="46">
        <f t="shared" si="224"/>
        <v>3525230.4617423611</v>
      </c>
      <c r="HR39" s="46">
        <f t="shared" si="224"/>
        <v>3592499.9773572022</v>
      </c>
      <c r="HS39" s="46">
        <f t="shared" si="224"/>
        <v>3622113.1839591679</v>
      </c>
      <c r="HT39" s="46">
        <f t="shared" si="224"/>
        <v>3624530.1673851679</v>
      </c>
      <c r="HU39" s="46">
        <f t="shared" si="224"/>
        <v>3626947.1508111679</v>
      </c>
      <c r="HV39" s="46">
        <f t="shared" si="224"/>
        <v>3629364.1342371679</v>
      </c>
      <c r="HW39" s="46">
        <f t="shared" si="224"/>
        <v>3631781.1176631679</v>
      </c>
      <c r="HX39" s="46">
        <f t="shared" si="224"/>
        <v>3634198.1010891679</v>
      </c>
      <c r="HY39" s="46">
        <f t="shared" si="224"/>
        <v>3665903.3248585155</v>
      </c>
      <c r="HZ39" s="46">
        <f t="shared" si="224"/>
        <v>3731080.8233059747</v>
      </c>
      <c r="IA39" s="46">
        <f t="shared" si="224"/>
        <v>3798350.3389208158</v>
      </c>
      <c r="IB39" s="46">
        <f t="shared" si="224"/>
        <v>3865619.854535657</v>
      </c>
      <c r="IC39" s="46">
        <f t="shared" si="224"/>
        <v>3928705.3358157342</v>
      </c>
      <c r="ID39" s="46">
        <f t="shared" si="224"/>
        <v>3995974.8514305754</v>
      </c>
      <c r="IE39" s="46">
        <f t="shared" si="224"/>
        <v>4025588.0580325411</v>
      </c>
      <c r="IF39" s="46">
        <f t="shared" si="224"/>
        <v>4028005.0414585411</v>
      </c>
      <c r="IG39" s="46">
        <f t="shared" si="224"/>
        <v>4030422.0248845411</v>
      </c>
    </row>
    <row r="40" spans="1:241" ht="30" outlineLevel="1" x14ac:dyDescent="0.25">
      <c r="A40" s="57" t="s">
        <v>310</v>
      </c>
      <c r="B40" s="46">
        <f>B38/POWER((1+'Вхідні дані'!$B$13/12),B1)</f>
        <v>-60502.513371428577</v>
      </c>
      <c r="C40" s="46">
        <f>C38/POWER((1+'Вхідні дані'!$B$13/12),C1)</f>
        <v>1030.8167547788421</v>
      </c>
      <c r="D40" s="46">
        <f>D38/POWER((1+'Вхідні дані'!$B$13/12),D1)</f>
        <v>1009.7796781507026</v>
      </c>
      <c r="E40" s="46">
        <f>E38/POWER((1+'Вхідні дані'!$B$13/12),E1)</f>
        <v>-42667.968563296701</v>
      </c>
      <c r="F40" s="46">
        <f>F38/POWER((1+'Вхідні дані'!$B$13/12),F1)</f>
        <v>-28377.935923048557</v>
      </c>
      <c r="G40" s="46">
        <f>G38/POWER((1+'Вхідні дані'!$B$13/12),G1)</f>
        <v>-26977.207163091894</v>
      </c>
      <c r="H40" s="46">
        <f>H38/POWER((1+'Вхідні дані'!$B$13/12),H1)</f>
        <v>-25961.732952357546</v>
      </c>
      <c r="I40" s="46">
        <f>I38/POWER((1+'Вхідні дані'!$B$13/12),I1)</f>
        <v>-27008.69211576835</v>
      </c>
      <c r="J40" s="46">
        <f>J38/POWER((1+'Вхідні дані'!$B$13/12),J1)</f>
        <v>-24912.883266235647</v>
      </c>
      <c r="K40" s="46">
        <f>K38/POWER((1+'Вхідні дані'!$B$13/12),K1)</f>
        <v>-38022.25246775624</v>
      </c>
      <c r="L40" s="46">
        <f>L38/POWER((1+'Вхідні дані'!$B$13/12),L1)</f>
        <v>-46880.646775388806</v>
      </c>
      <c r="M40" s="46">
        <f>M38/POWER((1+'Вхідні дані'!$B$13/12),M1)</f>
        <v>-45923.898882013527</v>
      </c>
      <c r="N40" s="46">
        <f>N38/POWER((1+'Вхідні дані'!$B$13/12),N1)</f>
        <v>-44986.676455849985</v>
      </c>
      <c r="O40" s="46">
        <f>O38/POWER((1+'Вхідні дані'!$B$13/12),O1)</f>
        <v>-44068.581017975506</v>
      </c>
      <c r="P40" s="46">
        <f>P38/POWER((1+'Вхідні дані'!$B$13/12),P1)</f>
        <v>-43169.222221690296</v>
      </c>
      <c r="Q40" s="46">
        <f>Q38/POWER((1+'Вхідні дані'!$B$13/12),Q1)</f>
        <v>-28249.593819344027</v>
      </c>
      <c r="R40" s="46">
        <f>R38/POWER((1+'Вхідні дані'!$B$13/12),R1)</f>
        <v>-11956.361394434573</v>
      </c>
      <c r="S40" s="46">
        <f>S38/POWER((1+'Вхідні дані'!$B$13/12),S1)</f>
        <v>-10750.106461768619</v>
      </c>
      <c r="T40" s="46">
        <f>T38/POWER((1+'Вхідні дані'!$B$13/12),T1)</f>
        <v>-9986.2008328072498</v>
      </c>
      <c r="U40" s="46">
        <f>U38/POWER((1+'Вхідні дані'!$B$13/12),U1)</f>
        <v>-12552.519564601518</v>
      </c>
      <c r="V40" s="46">
        <f>V38/POWER((1+'Вхідні дані'!$B$13/12),V1)</f>
        <v>-9582.759982835445</v>
      </c>
      <c r="W40" s="46">
        <f>W38/POWER((1+'Вхідні дані'!$B$13/12),W1)</f>
        <v>-24450.363125295979</v>
      </c>
      <c r="X40" s="46">
        <f>X38/POWER((1+'Вхідні дані'!$B$13/12),X1)</f>
        <v>-36103.176867120092</v>
      </c>
      <c r="Y40" s="46">
        <f>Y38/POWER((1+'Вхідні дані'!$B$13/12),Y1)</f>
        <v>-35366.377339219682</v>
      </c>
      <c r="Z40" s="46">
        <f>Z38/POWER((1+'Вхідні дані'!$B$13/12),Z1)</f>
        <v>-34644.61453637846</v>
      </c>
      <c r="AA40" s="46">
        <f>AA38/POWER((1+'Вхідні дані'!$B$13/12),AA1)</f>
        <v>-33937.581586656459</v>
      </c>
      <c r="AB40" s="46">
        <f>AB38/POWER((1+'Вхідні дані'!$B$13/12),AB1)</f>
        <v>-33244.977880806335</v>
      </c>
      <c r="AC40" s="46">
        <f>AC38/POWER((1+'Вхідні дані'!$B$13/12),AC1)</f>
        <v>-16124.39379114415</v>
      </c>
      <c r="AD40" s="46">
        <f>AD38/POWER((1+'Вхідні дані'!$B$13/12),AD1)</f>
        <v>2612.1746502919477</v>
      </c>
      <c r="AE40" s="46">
        <f>AE38/POWER((1+'Вхідні дані'!$B$13/12),AE1)</f>
        <v>3685.8547092896015</v>
      </c>
      <c r="AF40" s="46">
        <f>AF38/POWER((1+'Вхідні дані'!$B$13/12),AF1)</f>
        <v>3610.6331846102221</v>
      </c>
      <c r="AG40" s="46">
        <f>AG38/POWER((1+'Вхідні дані'!$B$13/12),AG1)</f>
        <v>292.56814979595185</v>
      </c>
      <c r="AH40" s="46">
        <f>AH38/POWER((1+'Вхідні дані'!$B$13/12),AH1)</f>
        <v>3464.7642054735334</v>
      </c>
      <c r="AI40" s="46">
        <f>AI38/POWER((1+'Вхідні дані'!$B$13/12),AI1)</f>
        <v>-14248.014225548368</v>
      </c>
      <c r="AJ40" s="46">
        <f>AJ38/POWER((1+'Вхідні дані'!$B$13/12),AJ1)</f>
        <v>-28189.495735231336</v>
      </c>
      <c r="AK40" s="46">
        <f>AK38/POWER((1+'Вхідні дані'!$B$13/12),AK1)</f>
        <v>-27614.19990390008</v>
      </c>
      <c r="AL40" s="46">
        <f>AL38/POWER((1+'Вхідні дані'!$B$13/12),AL1)</f>
        <v>-27050.644803820491</v>
      </c>
      <c r="AM40" s="46">
        <f>AM38/POWER((1+'Вхідні дані'!$B$13/12),AM1)</f>
        <v>-26498.590828232322</v>
      </c>
      <c r="AN40" s="46">
        <f>AN38/POWER((1+'Вхідні дані'!$B$13/12),AN1)</f>
        <v>-25957.803260309222</v>
      </c>
      <c r="AO40" s="46">
        <f>AO38/POWER((1+'Вхідні дані'!$B$13/12),AO1)</f>
        <v>-12589.987071819329</v>
      </c>
      <c r="AP40" s="46">
        <f>AP38/POWER((1+'Вхідні дані'!$B$13/12),AP1)</f>
        <v>2039.5957517839936</v>
      </c>
      <c r="AQ40" s="46">
        <f>AQ38/POWER((1+'Вхідні дані'!$B$13/12),AQ1)</f>
        <v>2877.9291637026986</v>
      </c>
      <c r="AR40" s="46">
        <f>AR38/POWER((1+'Вхідні дані'!$B$13/12),AR1)</f>
        <v>2819.1959154638689</v>
      </c>
      <c r="AS40" s="46">
        <f>AS38/POWER((1+'Вхідні дані'!$B$13/12),AS1)</f>
        <v>228.43830727950532</v>
      </c>
      <c r="AT40" s="46">
        <f>AT38/POWER((1+'Вхідні дані'!$B$13/12),AT1)</f>
        <v>2705.3008701494186</v>
      </c>
      <c r="AU40" s="46">
        <f>AU38/POWER((1+'Вхідні дані'!$B$13/12),AU1)</f>
        <v>-11124.902878350213</v>
      </c>
      <c r="AV40" s="46">
        <f>AV38/POWER((1+'Вхідні дані'!$B$13/12),AV1)</f>
        <v>-22010.463863924608</v>
      </c>
      <c r="AW40" s="46">
        <f>AW38/POWER((1+'Вхідні дані'!$B$13/12),AW1)</f>
        <v>-21561.270723844515</v>
      </c>
      <c r="AX40" s="46">
        <f>AX38/POWER((1+'Вхідні дані'!$B$13/12),AX1)</f>
        <v>-21121.244790704834</v>
      </c>
      <c r="AY40" s="46">
        <f>AY38/POWER((1+'Вхідні дані'!$B$13/12),AY1)</f>
        <v>-20690.198978649634</v>
      </c>
      <c r="AZ40" s="46">
        <f>AZ38/POWER((1+'Вхідні дані'!$B$13/12),AZ1)</f>
        <v>-20267.950019901684</v>
      </c>
      <c r="BA40" s="46">
        <f>BA38/POWER((1+'Вхідні дані'!$B$13/12),BA1)</f>
        <v>-9830.3090659838381</v>
      </c>
      <c r="BB40" s="46">
        <f>BB38/POWER((1+'Вхідні дані'!$B$13/12),BB1)</f>
        <v>1592.5240030295747</v>
      </c>
      <c r="BC40" s="46">
        <f>BC38/POWER((1+'Вхідні дані'!$B$13/12),BC1)</f>
        <v>2247.0978713338518</v>
      </c>
      <c r="BD40" s="46">
        <f>BD38/POWER((1+'Вхідні дані'!$B$13/12),BD1)</f>
        <v>2201.2387311025491</v>
      </c>
      <c r="BE40" s="46">
        <f>BE38/POWER((1+'Вхідні дані'!$B$13/12),BE1)</f>
        <v>837.68215457833469</v>
      </c>
      <c r="BF40" s="46">
        <f>BF38/POWER((1+'Вхідні дані'!$B$13/12),BF1)</f>
        <v>2112.3090530863278</v>
      </c>
      <c r="BG40" s="46">
        <f>BG38/POWER((1+'Вхідні дані'!$B$13/12),BG1)</f>
        <v>-9319.0462247130199</v>
      </c>
      <c r="BH40" s="46">
        <f>BH38/POWER((1+'Вхідні дані'!$B$13/12),BH1)</f>
        <v>-17185.852633030623</v>
      </c>
      <c r="BI40" s="46">
        <f>BI38/POWER((1+'Вхідні дані'!$B$13/12),BI1)</f>
        <v>-16835.120946642244</v>
      </c>
      <c r="BJ40" s="46">
        <f>BJ38/POWER((1+'Вхідні дані'!$B$13/12),BJ1)</f>
        <v>-16491.547049771994</v>
      </c>
      <c r="BK40" s="46">
        <f>BK38/POWER((1+'Вхідні дані'!$B$13/12),BK1)</f>
        <v>-16154.984865082773</v>
      </c>
      <c r="BL40" s="46">
        <f>BL38/POWER((1+'Вхідні дані'!$B$13/12),BL1)</f>
        <v>-15825.291296407617</v>
      </c>
      <c r="BM40" s="46">
        <f>BM38/POWER((1+'Вхідні дані'!$B$13/12),BM1)</f>
        <v>8472.6817329197438</v>
      </c>
      <c r="BN40" s="46">
        <f>BN38/POWER((1+'Вхідні дані'!$B$13/12),BN1)</f>
        <v>17062.116992242001</v>
      </c>
      <c r="BO40" s="46">
        <f>BO38/POWER((1+'Вхідні дані'!$B$13/12),BO1)</f>
        <v>17250.38075554866</v>
      </c>
      <c r="BP40" s="46">
        <f>BP38/POWER((1+'Вхідні дані'!$B$13/12),BP1)</f>
        <v>16898.33216870073</v>
      </c>
      <c r="BQ40" s="46">
        <f>BQ38/POWER((1+'Вхідні дані'!$B$13/12),BQ1)</f>
        <v>15523.87439785833</v>
      </c>
      <c r="BR40" s="46">
        <f>BR38/POWER((1+'Вхідні дані'!$B$13/12),BR1)</f>
        <v>16215.642364300911</v>
      </c>
      <c r="BS40" s="46">
        <f>BS38/POWER((1+'Вхідні дані'!$B$13/12),BS1)</f>
        <v>6992.7250259493758</v>
      </c>
      <c r="BT40" s="46">
        <f>BT38/POWER((1+'Вхідні дані'!$B$13/12),BT1)</f>
        <v>559.08757916794252</v>
      </c>
      <c r="BU40" s="46">
        <f>BU38/POWER((1+'Вхідні дані'!$B$13/12),BU1)</f>
        <v>547.67762857267849</v>
      </c>
      <c r="BV40" s="46">
        <f>BV38/POWER((1+'Вхідні дані'!$B$13/12),BV1)</f>
        <v>536.50053411201156</v>
      </c>
      <c r="BW40" s="46">
        <f>BW38/POWER((1+'Вхідні дані'!$B$13/12),BW1)</f>
        <v>525.55154361992982</v>
      </c>
      <c r="BX40" s="46">
        <f>BX38/POWER((1+'Вхідні дані'!$B$13/12),BX1)</f>
        <v>514.82600191340077</v>
      </c>
      <c r="BY40" s="46">
        <f>BY38/POWER((1+'Вхідні дані'!$B$13/12),BY1)</f>
        <v>6615.5016345287504</v>
      </c>
      <c r="BZ40" s="46">
        <f>BZ38/POWER((1+'Вхідні дані'!$B$13/12),BZ1)</f>
        <v>13322.164859814748</v>
      </c>
      <c r="CA40" s="46">
        <f>CA38/POWER((1+'Вхідні дані'!$B$13/12),CA1)</f>
        <v>13469.161911413963</v>
      </c>
      <c r="CB40" s="46">
        <f>CB38/POWER((1+'Вхідні дані'!$B$13/12),CB1)</f>
        <v>13194.281056078986</v>
      </c>
      <c r="CC40" s="46">
        <f>CC38/POWER((1+'Вхідні дані'!$B$13/12),CC1)</f>
        <v>12121.099280081218</v>
      </c>
      <c r="CD40" s="46">
        <f>CD38/POWER((1+'Вхідні дані'!$B$13/12),CD1)</f>
        <v>12661.234299544351</v>
      </c>
      <c r="CE40" s="46">
        <f>CE38/POWER((1+'Вхідні дані'!$B$13/12),CE1)</f>
        <v>5459.9458940182058</v>
      </c>
      <c r="CF40" s="46">
        <f>CF38/POWER((1+'Вхідні дані'!$B$13/12),CF1)</f>
        <v>436.53767607716668</v>
      </c>
      <c r="CG40" s="46">
        <f>CG38/POWER((1+'Вхідні дані'!$B$13/12),CG1)</f>
        <v>427.62874391232663</v>
      </c>
      <c r="CH40" s="46">
        <f>CH38/POWER((1+'Вхідні дані'!$B$13/12),CH1)</f>
        <v>418.90162668962608</v>
      </c>
      <c r="CI40" s="46">
        <f>CI38/POWER((1+'Вхідні дані'!$B$13/12),CI1)</f>
        <v>410.35261390004189</v>
      </c>
      <c r="CJ40" s="46">
        <f>CJ38/POWER((1+'Вхідні дані'!$B$13/12),CJ1)</f>
        <v>401.97807075922481</v>
      </c>
      <c r="CK40" s="46">
        <f>CK38/POWER((1+'Вхідні дані'!$B$13/12),CK1)</f>
        <v>5165.408456971616</v>
      </c>
      <c r="CL40" s="46">
        <f>CL38/POWER((1+'Вхідні дані'!$B$13/12),CL1)</f>
        <v>10401.996225484891</v>
      </c>
      <c r="CM40" s="46">
        <f>CM38/POWER((1+'Вхідні дані'!$B$13/12),CM1)</f>
        <v>10516.772074003678</v>
      </c>
      <c r="CN40" s="46">
        <f>CN38/POWER((1+'Вхідні дані'!$B$13/12),CN1)</f>
        <v>10302.144072493402</v>
      </c>
      <c r="CO40" s="46">
        <f>CO38/POWER((1+'Вхідні дані'!$B$13/12),CO1)</f>
        <v>9464.1997218075048</v>
      </c>
      <c r="CP40" s="46">
        <f>CP38/POWER((1+'Вхідні дані'!$B$13/12),CP1)</f>
        <v>9885.9391682735532</v>
      </c>
      <c r="CQ40" s="46">
        <f>CQ38/POWER((1+'Вхідні дані'!$B$13/12),CQ1)</f>
        <v>4263.1462062329447</v>
      </c>
      <c r="CR40" s="46">
        <f>CR38/POWER((1+'Вхідні дані'!$B$13/12),CR1)</f>
        <v>340.85025268931975</v>
      </c>
      <c r="CS40" s="46">
        <f>CS38/POWER((1+'Вхідні дані'!$B$13/12),CS1)</f>
        <v>333.89412508341536</v>
      </c>
      <c r="CT40" s="46">
        <f>CT38/POWER((1+'Вхідні дані'!$B$13/12),CT1)</f>
        <v>327.07995926538649</v>
      </c>
      <c r="CU40" s="46">
        <f>CU38/POWER((1+'Вхідні дані'!$B$13/12),CU1)</f>
        <v>320.40485805588884</v>
      </c>
      <c r="CV40" s="46">
        <f>CV38/POWER((1+'Вхідні дані'!$B$13/12),CV1)</f>
        <v>313.86598340168712</v>
      </c>
      <c r="CW40" s="46">
        <f>CW38/POWER((1+'Вхідні дані'!$B$13/12),CW1)</f>
        <v>4033.1702720914709</v>
      </c>
      <c r="CX40" s="46">
        <f>CX38/POWER((1+'Вхідні дані'!$B$13/12),CX1)</f>
        <v>8121.9176172622829</v>
      </c>
      <c r="CY40" s="46">
        <f>CY38/POWER((1+'Вхідні дані'!$B$13/12),CY1)</f>
        <v>8211.5350297198147</v>
      </c>
      <c r="CZ40" s="46">
        <f>CZ38/POWER((1+'Вхідні дані'!$B$13/12),CZ1)</f>
        <v>8043.9526821745158</v>
      </c>
      <c r="DA40" s="46">
        <f>DA38/POWER((1+'Вхідні дані'!$B$13/12),DA1)</f>
        <v>7389.6825943381837</v>
      </c>
      <c r="DB40" s="46">
        <f>DB38/POWER((1+'Вхідні дані'!$B$13/12),DB1)</f>
        <v>7718.9783339150708</v>
      </c>
      <c r="DC40" s="46">
        <f>DC38/POWER((1+'Вхідні дані'!$B$13/12),DC1)</f>
        <v>3328.680526968194</v>
      </c>
      <c r="DD40" s="46">
        <f>DD38/POWER((1+'Вхідні дані'!$B$13/12),DD1)</f>
        <v>266.13715407656184</v>
      </c>
      <c r="DE40" s="46">
        <f>DE38/POWER((1+'Вхідні дані'!$B$13/12),DE1)</f>
        <v>260.70578358520351</v>
      </c>
      <c r="DF40" s="46">
        <f>DF38/POWER((1+'Вхідні дані'!$B$13/12),DF1)</f>
        <v>255.38525738958705</v>
      </c>
      <c r="DG40" s="46">
        <f>DG38/POWER((1+'Вхідні дані'!$B$13/12),DG1)</f>
        <v>250.17331336122822</v>
      </c>
      <c r="DH40" s="46">
        <f>DH38/POWER((1+'Вхідні дані'!$B$13/12),DH1)</f>
        <v>245.06773553752973</v>
      </c>
      <c r="DI40" s="46">
        <f>DI38/POWER((1+'Вхідні дані'!$B$13/12),DI1)</f>
        <v>3149.1144561332753</v>
      </c>
      <c r="DJ40" s="46">
        <f>DJ38/POWER((1+'Вхідні дані'!$B$13/12),DJ1)</f>
        <v>6341.6236991107398</v>
      </c>
      <c r="DK40" s="46">
        <f>DK38/POWER((1+'Вхідні дані'!$B$13/12),DK1)</f>
        <v>6411.597310451707</v>
      </c>
      <c r="DL40" s="46">
        <f>DL38/POWER((1+'Вхідні дані'!$B$13/12),DL1)</f>
        <v>6280.7483857486122</v>
      </c>
      <c r="DM40" s="46">
        <f>DM38/POWER((1+'Вхідні дані'!$B$13/12),DM1)</f>
        <v>5769.8918503629793</v>
      </c>
      <c r="DN40" s="46">
        <f>DN38/POWER((1+'Вхідні дані'!$B$13/12),DN1)</f>
        <v>6027.0071973197846</v>
      </c>
      <c r="DO40" s="46">
        <f>DO38/POWER((1+'Вхідні дані'!$B$13/12),DO1)</f>
        <v>2599.0462242222761</v>
      </c>
      <c r="DP40" s="46">
        <f>DP38/POWER((1+'Вхідні дані'!$B$13/12),DP1)</f>
        <v>207.80088681504148</v>
      </c>
      <c r="DQ40" s="46">
        <f>DQ38/POWER((1+'Вхідні дані'!$B$13/12),DQ1)</f>
        <v>203.56005239024472</v>
      </c>
      <c r="DR40" s="46">
        <f>DR38/POWER((1+'Вхідні дані'!$B$13/12),DR1)</f>
        <v>199.40576560677033</v>
      </c>
      <c r="DS40" s="46">
        <f>DS38/POWER((1+'Вхідні дані'!$B$13/12),DS1)</f>
        <v>195.33626018622402</v>
      </c>
      <c r="DT40" s="46">
        <f>DT38/POWER((1+'Вхідні дані'!$B$13/12),DT1)</f>
        <v>191.34980589670928</v>
      </c>
      <c r="DU40" s="46">
        <f>DU38/POWER((1+'Вхідні дані'!$B$13/12),DU1)</f>
        <v>2458.8403634853184</v>
      </c>
      <c r="DV40" s="46">
        <f>DV38/POWER((1+'Вхідні дані'!$B$13/12),DV1)</f>
        <v>4951.5635390893003</v>
      </c>
      <c r="DW40" s="46">
        <f>DW38/POWER((1+'Вхідні дані'!$B$13/12),DW1)</f>
        <v>5006.1991969355595</v>
      </c>
      <c r="DX40" s="46">
        <f>DX38/POWER((1+'Вхідні дані'!$B$13/12),DX1)</f>
        <v>4904.0318663858552</v>
      </c>
      <c r="DY40" s="46">
        <f>DY38/POWER((1+'Вхідні дані'!$B$13/12),DY1)</f>
        <v>4505.1531699605703</v>
      </c>
      <c r="DZ40" s="46">
        <f>DZ38/POWER((1+'Вхідні дані'!$B$13/12),DZ1)</f>
        <v>4705.9097959820956</v>
      </c>
      <c r="EA40" s="46">
        <f>EA38/POWER((1+'Вхідні дані'!$B$13/12),EA1)</f>
        <v>2029.3450275315702</v>
      </c>
      <c r="EB40" s="46">
        <f>EB38/POWER((1+'Вхідні дані'!$B$13/12),EB1)</f>
        <v>162.25171081785666</v>
      </c>
      <c r="EC40" s="46">
        <f>EC38/POWER((1+'Вхідні дані'!$B$13/12),EC1)</f>
        <v>158.94045141341061</v>
      </c>
      <c r="ED40" s="46">
        <f>ED38/POWER((1+'Вхідні дані'!$B$13/12),ED1)</f>
        <v>155.69676873150425</v>
      </c>
      <c r="EE40" s="46">
        <f>EE38/POWER((1+'Вхідні дані'!$B$13/12),EE1)</f>
        <v>152.51928365535113</v>
      </c>
      <c r="EF40" s="46">
        <f>EF38/POWER((1+'Вхідні дані'!$B$13/12),EF1)</f>
        <v>149.40664521340526</v>
      </c>
      <c r="EG40" s="46">
        <f>EG38/POWER((1+'Вхідні дані'!$B$13/12),EG1)</f>
        <v>1919.8717662768688</v>
      </c>
      <c r="EH40" s="46">
        <f>EH38/POWER((1+'Вхідні дані'!$B$13/12),EH1)</f>
        <v>3866.1993591762034</v>
      </c>
      <c r="EI40" s="46">
        <f>EI38/POWER((1+'Вхідні дані'!$B$13/12),EI1)</f>
        <v>3908.8590854799932</v>
      </c>
      <c r="EJ40" s="46">
        <f>EJ38/POWER((1+'Вхідні дані'!$B$13/12),EJ1)</f>
        <v>3829.0864510824431</v>
      </c>
      <c r="EK40" s="46">
        <f>EK38/POWER((1+'Вхідні дані'!$B$13/12),EK1)</f>
        <v>3517.6404707705142</v>
      </c>
      <c r="EL40" s="46">
        <f>EL38/POWER((1+'Вхідні дані'!$B$13/12),EL1)</f>
        <v>3674.39199637399</v>
      </c>
      <c r="EM40" s="46">
        <f>EM38/POWER((1+'Вхідні дані'!$B$13/12),EM1)</f>
        <v>1584.5201991355223</v>
      </c>
      <c r="EN40" s="46">
        <f>EN38/POWER((1+'Вхідні дані'!$B$13/12),EN1)</f>
        <v>126.6867435784967</v>
      </c>
      <c r="EO40" s="46">
        <f>EO38/POWER((1+'Вхідні дані'!$B$13/12),EO1)</f>
        <v>124.1012998319968</v>
      </c>
      <c r="EP40" s="46">
        <f>EP38/POWER((1+'Вхідні дані'!$B$13/12),EP1)</f>
        <v>121.56862024358871</v>
      </c>
      <c r="EQ40" s="46">
        <f>EQ38/POWER((1+'Вхідні дані'!$B$13/12),EQ1)</f>
        <v>119.08762799371958</v>
      </c>
      <c r="ER40" s="46">
        <f>ER38/POWER((1+'Вхідні дані'!$B$13/12),ER1)</f>
        <v>116.65726823874571</v>
      </c>
      <c r="ES40" s="46">
        <f>ES38/POWER((1+'Вхідні дані'!$B$13/12),ES1)</f>
        <v>1499.0430666765299</v>
      </c>
      <c r="ET40" s="46">
        <f>ET38/POWER((1+'Вхідні дані'!$B$13/12),ET1)</f>
        <v>3018.7429418796573</v>
      </c>
      <c r="EU40" s="46">
        <f>EU38/POWER((1+'Вхідні дані'!$B$13/12),EU1)</f>
        <v>3052.0518159749458</v>
      </c>
      <c r="EV40" s="46">
        <f>EV38/POWER((1+'Вхідні дані'!$B$13/12),EV1)</f>
        <v>2989.7650442203553</v>
      </c>
      <c r="EW40" s="46">
        <f>EW38/POWER((1+'Вхідні дані'!$B$13/12),EW1)</f>
        <v>2746.586856160297</v>
      </c>
      <c r="EX40" s="46">
        <f>EX38/POWER((1+'Вхідні дані'!$B$13/12),EX1)</f>
        <v>2868.9790345204915</v>
      </c>
      <c r="EY40" s="46">
        <f>EY38/POWER((1+'Вхідні дані'!$B$13/12),EY1)</f>
        <v>1237.1993068731219</v>
      </c>
      <c r="EZ40" s="46">
        <f>EZ38/POWER((1+'Вхідні дані'!$B$13/12),EZ1)</f>
        <v>98.917483936677513</v>
      </c>
      <c r="FA40" s="46">
        <f>FA38/POWER((1+'Вхідні дані'!$B$13/12),FA1)</f>
        <v>96.898759774704516</v>
      </c>
      <c r="FB40" s="46">
        <f>FB38/POWER((1+'Вхідні дані'!$B$13/12),FB1)</f>
        <v>94.921234065016662</v>
      </c>
      <c r="FC40" s="46">
        <f>FC38/POWER((1+'Вхідні дані'!$B$13/12),FC1)</f>
        <v>92.984066022873478</v>
      </c>
      <c r="FD40" s="46">
        <f>FD38/POWER((1+'Вхідні дані'!$B$13/12),FD1)</f>
        <v>91.086432022406697</v>
      </c>
      <c r="FE40" s="46">
        <f>FE38/POWER((1+'Вхідні дані'!$B$13/12),FE1)</f>
        <v>1170.4584416639163</v>
      </c>
      <c r="FF40" s="46">
        <f>FF38/POWER((1+'Вхідні дані'!$B$13/12),FF1)</f>
        <v>2357.0457968028782</v>
      </c>
      <c r="FG40" s="46">
        <f>FG38/POWER((1+'Вхідні дані'!$B$13/12),FG1)</f>
        <v>2383.0534904668007</v>
      </c>
      <c r="FH40" s="46">
        <f>FH38/POWER((1+'Вхідні дані'!$B$13/12),FH1)</f>
        <v>2334.4197457633973</v>
      </c>
      <c r="FI40" s="46">
        <f>FI38/POWER((1+'Вхідні дані'!$B$13/12),FI1)</f>
        <v>2144.5453056150741</v>
      </c>
      <c r="FJ40" s="46">
        <f>FJ38/POWER((1+'Вхідні дані'!$B$13/12),FJ1)</f>
        <v>2240.1095769424687</v>
      </c>
      <c r="FK40" s="46">
        <f>FK38/POWER((1+'Вхідні дані'!$B$13/12),FK1)</f>
        <v>966.00985317980019</v>
      </c>
      <c r="FL40" s="46">
        <f>FL38/POWER((1+'Вхідні дані'!$B$13/12),FL1)</f>
        <v>77.235141988633956</v>
      </c>
      <c r="FM40" s="46">
        <f>FM38/POWER((1+'Вхідні дані'!$B$13/12),FM1)</f>
        <v>75.658914601110823</v>
      </c>
      <c r="FN40" s="46">
        <f>FN38/POWER((1+'Вхідні дані'!$B$13/12),FN1)</f>
        <v>74.114855119455498</v>
      </c>
      <c r="FO40" s="46">
        <f>FO38/POWER((1+'Вхідні дані'!$B$13/12),FO1)</f>
        <v>72.602307055793133</v>
      </c>
      <c r="FP40" s="46">
        <f>FP38/POWER((1+'Вхідні дані'!$B$13/12),FP1)</f>
        <v>71.120627319960661</v>
      </c>
      <c r="FQ40" s="46">
        <f>FQ38/POWER((1+'Вхідні дані'!$B$13/12),FQ1)</f>
        <v>913.89833562263004</v>
      </c>
      <c r="FR40" s="46">
        <f>FR38/POWER((1+'Вхідні дані'!$B$13/12),FR1)</f>
        <v>1840.3901873031987</v>
      </c>
      <c r="FS40" s="46">
        <f>FS38/POWER((1+'Вхідні дані'!$B$13/12),FS1)</f>
        <v>1860.6970919371249</v>
      </c>
      <c r="FT40" s="46">
        <f>FT38/POWER((1+'Вхідні дані'!$B$13/12),FT1)</f>
        <v>1822.7236818975919</v>
      </c>
      <c r="FU40" s="46">
        <f>FU38/POWER((1+'Вхідні дані'!$B$13/12),FU1)</f>
        <v>1674.4690077870378</v>
      </c>
      <c r="FV40" s="46">
        <f>FV38/POWER((1+'Вхідні дані'!$B$13/12),FV1)</f>
        <v>1749.0859488096844</v>
      </c>
      <c r="FW40" s="46">
        <f>FW38/POWER((1+'Вхідні дані'!$B$13/12),FW1)</f>
        <v>754.26411189879423</v>
      </c>
      <c r="FX40" s="46">
        <f>FX38/POWER((1+'Вхідні дані'!$B$13/12),FX1)</f>
        <v>60.305488176621438</v>
      </c>
      <c r="FY40" s="46">
        <f>FY38/POWER((1+'Вхідні дані'!$B$13/12),FY1)</f>
        <v>59.074763928118976</v>
      </c>
      <c r="FZ40" s="46">
        <f>FZ38/POWER((1+'Вхідні дані'!$B$13/12),FZ1)</f>
        <v>57.869156501014501</v>
      </c>
      <c r="GA40" s="46">
        <f>GA38/POWER((1+'Вхідні дані'!$B$13/12),GA1)</f>
        <v>56.688153307116252</v>
      </c>
      <c r="GB40" s="46">
        <f>GB38/POWER((1+'Вхідні дані'!$B$13/12),GB1)</f>
        <v>55.531252219215936</v>
      </c>
      <c r="GC40" s="46">
        <f>GC38/POWER((1+'Вхідні дані'!$B$13/12),GC1)</f>
        <v>713.57524378779613</v>
      </c>
      <c r="GD40" s="46">
        <f>GD38/POWER((1+'Вхідні дані'!$B$13/12),GD1)</f>
        <v>1436.9835520871575</v>
      </c>
      <c r="GE40" s="46">
        <f>GE38/POWER((1+'Вхідні дані'!$B$13/12),GE1)</f>
        <v>1452.8392592921136</v>
      </c>
      <c r="GF40" s="46">
        <f>GF38/POWER((1+'Вхідні дані'!$B$13/12),GF1)</f>
        <v>1423.189478490234</v>
      </c>
      <c r="GG40" s="46">
        <f>GG38/POWER((1+'Вхідні дані'!$B$13/12),GG1)</f>
        <v>1307.4316736037149</v>
      </c>
      <c r="GH40" s="46">
        <f>GH38/POWER((1+'Вхідні дані'!$B$13/12),GH1)</f>
        <v>1365.6928606586835</v>
      </c>
      <c r="GI40" s="46">
        <f>GI38/POWER((1+'Вхідні дані'!$B$13/12),GI1)</f>
        <v>588.93224393704668</v>
      </c>
      <c r="GJ40" s="46">
        <f>GJ38/POWER((1+'Вхідні дані'!$B$13/12),GJ1)</f>
        <v>47.086751064118182</v>
      </c>
      <c r="GK40" s="46">
        <f>GK38/POWER((1+'Вхідні дані'!$B$13/12),GK1)</f>
        <v>46.125796960768831</v>
      </c>
      <c r="GL40" s="46">
        <f>GL38/POWER((1+'Вхідні дані'!$B$13/12),GL1)</f>
        <v>45.184454165651104</v>
      </c>
      <c r="GM40" s="46">
        <f>GM38/POWER((1+'Вхідні дані'!$B$13/12),GM1)</f>
        <v>44.262322447984765</v>
      </c>
      <c r="GN40" s="46">
        <f>GN38/POWER((1+'Вхідні дані'!$B$13/12),GN1)</f>
        <v>43.359009744964673</v>
      </c>
      <c r="GO40" s="46">
        <f>GO38/POWER((1+'Вхідні дані'!$B$13/12),GO1)</f>
        <v>557.16222330124583</v>
      </c>
      <c r="GP40" s="46">
        <f>GP38/POWER((1+'Вхідні дані'!$B$13/12),GP1)</f>
        <v>1122.002140206388</v>
      </c>
      <c r="GQ40" s="46">
        <f>GQ38/POWER((1+'Вхідні дані'!$B$13/12),GQ1)</f>
        <v>1134.3823357852498</v>
      </c>
      <c r="GR40" s="46">
        <f>GR38/POWER((1+'Вхідні дані'!$B$13/12),GR1)</f>
        <v>1111.2316758712652</v>
      </c>
      <c r="GS40" s="46">
        <f>GS38/POWER((1+'Вхідні дані'!$B$13/12),GS1)</f>
        <v>1020.8475482035396</v>
      </c>
      <c r="GT40" s="46">
        <f>GT38/POWER((1+'Вхідні дані'!$B$13/12),GT1)</f>
        <v>1066.3381012942089</v>
      </c>
      <c r="GU40" s="46">
        <f>GU38/POWER((1+'Вхідні дані'!$B$13/12),GU1)</f>
        <v>459.84050212276782</v>
      </c>
      <c r="GV40" s="46">
        <f>GV38/POWER((1+'Вхідні дані'!$B$13/12),GV1)</f>
        <v>36.765511611159788</v>
      </c>
      <c r="GW40" s="46">
        <f>GW38/POWER((1+'Вхідні дані'!$B$13/12),GW1)</f>
        <v>36.01519504766673</v>
      </c>
      <c r="GX40" s="46">
        <f>GX38/POWER((1+'Вхідні дані'!$B$13/12),GX1)</f>
        <v>35.280191067102095</v>
      </c>
      <c r="GY40" s="46">
        <f>GY38/POWER((1+'Вхідні дані'!$B$13/12),GY1)</f>
        <v>34.560187167773492</v>
      </c>
      <c r="GZ40" s="46">
        <f>GZ38/POWER((1+'Вхідні дані'!$B$13/12),GZ1)</f>
        <v>33.854877225574043</v>
      </c>
      <c r="HA40" s="46">
        <f>HA38/POWER((1+'Вхідні дані'!$B$13/12),HA1)</f>
        <v>435.03435100433967</v>
      </c>
      <c r="HB40" s="46">
        <f>HB38/POWER((1+'Вхідні дані'!$B$13/12),HB1)</f>
        <v>876.06347393415376</v>
      </c>
      <c r="HC40" s="46">
        <f>HC38/POWER((1+'Вхідні дані'!$B$13/12),HC1)</f>
        <v>885.72997701658733</v>
      </c>
      <c r="HD40" s="46">
        <f>HD38/POWER((1+'Вхідні дані'!$B$13/12),HD1)</f>
        <v>867.65385503665709</v>
      </c>
      <c r="HE40" s="46">
        <f>HE38/POWER((1+'Вхідні дані'!$B$13/12),HE1)</f>
        <v>797.08158958756383</v>
      </c>
      <c r="HF40" s="46">
        <f>HF38/POWER((1+'Вхідні дані'!$B$13/12),HF1)</f>
        <v>832.60078384192343</v>
      </c>
      <c r="HG40" s="46">
        <f>HG38/POWER((1+'Вхідні дані'!$B$13/12),HG1)</f>
        <v>359.04518655480899</v>
      </c>
      <c r="HH40" s="46">
        <f>HH38/POWER((1+'Вхідні дані'!$B$13/12),HH1)</f>
        <v>28.706649184389612</v>
      </c>
      <c r="HI40" s="46">
        <f>HI38/POWER((1+'Вхідні дані'!$B$13/12),HI1)</f>
        <v>28.120799201034721</v>
      </c>
      <c r="HJ40" s="46">
        <f>HJ38/POWER((1+'Вхідні дані'!$B$13/12),HJ1)</f>
        <v>27.546905339789113</v>
      </c>
      <c r="HK40" s="46">
        <f>HK38/POWER((1+'Вхідні дані'!$B$13/12),HK1)</f>
        <v>26.98472359816077</v>
      </c>
      <c r="HL40" s="46">
        <f>HL38/POWER((1+'Вхідні дані'!$B$13/12),HL1)</f>
        <v>26.434014953300348</v>
      </c>
      <c r="HM40" s="46">
        <f>HM38/POWER((1+'Вхідні дані'!$B$13/12),HM1)</f>
        <v>339.67645084121386</v>
      </c>
      <c r="HN40" s="46">
        <f>HN38/POWER((1+'Вхідні дані'!$B$13/12),HN1)</f>
        <v>684.03364205740399</v>
      </c>
      <c r="HO40" s="46">
        <f>HO38/POWER((1+'Вхідні дані'!$B$13/12),HO1)</f>
        <v>691.58128387351871</v>
      </c>
      <c r="HP40" s="46">
        <f>HP38/POWER((1+'Вхідні дані'!$B$13/12),HP1)</f>
        <v>677.46738012099797</v>
      </c>
      <c r="HQ40" s="46">
        <f>HQ38/POWER((1+'Вхідні дані'!$B$13/12),HQ1)</f>
        <v>622.36429090464117</v>
      </c>
      <c r="HR40" s="46">
        <f>HR38/POWER((1+'Вхідні дані'!$B$13/12),HR1)</f>
        <v>650.09781082831307</v>
      </c>
      <c r="HS40" s="46">
        <f>HS38/POWER((1+'Вхідні дані'!$B$13/12),HS1)</f>
        <v>280.34382659437949</v>
      </c>
      <c r="HT40" s="46">
        <f>HT38/POWER((1+'Вхідні дані'!$B$13/12),HT1)</f>
        <v>22.414259214210919</v>
      </c>
      <c r="HU40" s="46">
        <f>HU38/POWER((1+'Вхідні дані'!$B$13/12),HU1)</f>
        <v>21.956825352696409</v>
      </c>
      <c r="HV40" s="46">
        <f>HV38/POWER((1+'Вхідні дані'!$B$13/12),HV1)</f>
        <v>21.508726876110771</v>
      </c>
      <c r="HW40" s="46">
        <f>HW38/POWER((1+'Вхідні дані'!$B$13/12),HW1)</f>
        <v>21.069773266394225</v>
      </c>
      <c r="HX40" s="46">
        <f>HX38/POWER((1+'Вхідні дані'!$B$13/12),HX1)</f>
        <v>20.639777893610677</v>
      </c>
      <c r="HY40" s="46">
        <f>HY38/POWER((1+'Вхідні дані'!$B$13/12),HY1)</f>
        <v>265.22064519666537</v>
      </c>
      <c r="HZ40" s="46">
        <f>HZ38/POWER((1+'Вхідні дані'!$B$13/12),HZ1)</f>
        <v>534.09603001150242</v>
      </c>
      <c r="IA40" s="46">
        <f>IA38/POWER((1+'Вхідні дані'!$B$13/12),IA1)</f>
        <v>539.98925701392113</v>
      </c>
      <c r="IB40" s="46">
        <f>IB38/POWER((1+'Вхідні дані'!$B$13/12),IB1)</f>
        <v>528.9690680952699</v>
      </c>
      <c r="IC40" s="46">
        <f>IC38/POWER((1+'Вхідні дані'!$B$13/12),IC1)</f>
        <v>485.94436962677565</v>
      </c>
      <c r="ID40" s="46">
        <f>ID38/POWER((1+'Вхідні дані'!$B$13/12),ID1)</f>
        <v>507.59880586901363</v>
      </c>
      <c r="IE40" s="46">
        <f>IE38/POWER((1+'Вхідні дані'!$B$13/12),IE1)</f>
        <v>218.89350993313533</v>
      </c>
      <c r="IF40" s="46">
        <f>IF38/POWER((1+'Вхідні дані'!$B$13/12),IF1)</f>
        <v>17.501137555094335</v>
      </c>
      <c r="IG40" s="46">
        <f>IG38/POWER((1+'Вхідні дані'!$B$13/12),IG1)</f>
        <v>17.143971482541392</v>
      </c>
    </row>
    <row r="41" spans="1:241" ht="30" outlineLevel="1" x14ac:dyDescent="0.25">
      <c r="A41" s="57" t="s">
        <v>309</v>
      </c>
      <c r="B41" s="46">
        <f>B40</f>
        <v>-60502.513371428577</v>
      </c>
      <c r="C41" s="46">
        <f t="shared" ref="C41:BN41" si="225">B41+C40</f>
        <v>-59471.696616649737</v>
      </c>
      <c r="D41" s="46">
        <f t="shared" si="225"/>
        <v>-58461.916938499031</v>
      </c>
      <c r="E41" s="46">
        <f t="shared" si="225"/>
        <v>-101129.88550179574</v>
      </c>
      <c r="F41" s="46">
        <f t="shared" si="225"/>
        <v>-129507.8214248443</v>
      </c>
      <c r="G41" s="46">
        <f t="shared" si="225"/>
        <v>-156485.02858793619</v>
      </c>
      <c r="H41" s="46">
        <f t="shared" si="225"/>
        <v>-182446.76154029375</v>
      </c>
      <c r="I41" s="46">
        <f t="shared" si="225"/>
        <v>-209455.45365606211</v>
      </c>
      <c r="J41" s="46">
        <f t="shared" si="225"/>
        <v>-234368.33692229775</v>
      </c>
      <c r="K41" s="46">
        <f t="shared" si="225"/>
        <v>-272390.589390054</v>
      </c>
      <c r="L41" s="46">
        <f t="shared" si="225"/>
        <v>-319271.2361654428</v>
      </c>
      <c r="M41" s="46">
        <f t="shared" si="225"/>
        <v>-365195.13504745631</v>
      </c>
      <c r="N41" s="46">
        <f t="shared" si="225"/>
        <v>-410181.81150330626</v>
      </c>
      <c r="O41" s="46">
        <f t="shared" si="225"/>
        <v>-454250.39252128178</v>
      </c>
      <c r="P41" s="46">
        <f t="shared" si="225"/>
        <v>-497419.61474297207</v>
      </c>
      <c r="Q41" s="46">
        <f t="shared" si="225"/>
        <v>-525669.20856231614</v>
      </c>
      <c r="R41" s="46">
        <f t="shared" si="225"/>
        <v>-537625.56995675073</v>
      </c>
      <c r="S41" s="46">
        <f t="shared" si="225"/>
        <v>-548375.67641851935</v>
      </c>
      <c r="T41" s="46">
        <f t="shared" si="225"/>
        <v>-558361.87725132657</v>
      </c>
      <c r="U41" s="46">
        <f t="shared" si="225"/>
        <v>-570914.39681592805</v>
      </c>
      <c r="V41" s="46">
        <f t="shared" si="225"/>
        <v>-580497.15679876355</v>
      </c>
      <c r="W41" s="46">
        <f t="shared" si="225"/>
        <v>-604947.51992405951</v>
      </c>
      <c r="X41" s="46">
        <f t="shared" si="225"/>
        <v>-641050.69679117959</v>
      </c>
      <c r="Y41" s="46">
        <f t="shared" si="225"/>
        <v>-676417.07413039927</v>
      </c>
      <c r="Z41" s="46">
        <f t="shared" si="225"/>
        <v>-711061.68866677769</v>
      </c>
      <c r="AA41" s="46">
        <f t="shared" si="225"/>
        <v>-744999.2702534342</v>
      </c>
      <c r="AB41" s="46">
        <f t="shared" si="225"/>
        <v>-778244.24813424051</v>
      </c>
      <c r="AC41" s="46">
        <f t="shared" si="225"/>
        <v>-794368.64192538464</v>
      </c>
      <c r="AD41" s="46">
        <f t="shared" si="225"/>
        <v>-791756.46727509273</v>
      </c>
      <c r="AE41" s="46">
        <f t="shared" si="225"/>
        <v>-788070.61256580311</v>
      </c>
      <c r="AF41" s="46">
        <f t="shared" si="225"/>
        <v>-784459.97938119294</v>
      </c>
      <c r="AG41" s="46">
        <f t="shared" si="225"/>
        <v>-784167.41123139695</v>
      </c>
      <c r="AH41" s="46">
        <f t="shared" si="225"/>
        <v>-780702.64702592348</v>
      </c>
      <c r="AI41" s="46">
        <f t="shared" si="225"/>
        <v>-794950.66125147184</v>
      </c>
      <c r="AJ41" s="46">
        <f t="shared" si="225"/>
        <v>-823140.15698670316</v>
      </c>
      <c r="AK41" s="46">
        <f t="shared" si="225"/>
        <v>-850754.3568906032</v>
      </c>
      <c r="AL41" s="46">
        <f t="shared" si="225"/>
        <v>-877805.00169442373</v>
      </c>
      <c r="AM41" s="46">
        <f t="shared" si="225"/>
        <v>-904303.59252265608</v>
      </c>
      <c r="AN41" s="46">
        <f t="shared" si="225"/>
        <v>-930261.39578296535</v>
      </c>
      <c r="AO41" s="46">
        <f t="shared" si="225"/>
        <v>-942851.38285478472</v>
      </c>
      <c r="AP41" s="46">
        <f t="shared" si="225"/>
        <v>-940811.78710300068</v>
      </c>
      <c r="AQ41" s="46">
        <f t="shared" si="225"/>
        <v>-937933.85793929803</v>
      </c>
      <c r="AR41" s="46">
        <f t="shared" si="225"/>
        <v>-935114.66202383419</v>
      </c>
      <c r="AS41" s="46">
        <f t="shared" si="225"/>
        <v>-934886.2237165547</v>
      </c>
      <c r="AT41" s="46">
        <f t="shared" si="225"/>
        <v>-932180.9228464053</v>
      </c>
      <c r="AU41" s="46">
        <f t="shared" si="225"/>
        <v>-943305.82572475553</v>
      </c>
      <c r="AV41" s="46">
        <f t="shared" si="225"/>
        <v>-965316.28958868014</v>
      </c>
      <c r="AW41" s="46">
        <f t="shared" si="225"/>
        <v>-986877.56031252467</v>
      </c>
      <c r="AX41" s="46">
        <f t="shared" si="225"/>
        <v>-1007998.8051032295</v>
      </c>
      <c r="AY41" s="46">
        <f t="shared" si="225"/>
        <v>-1028689.0040818792</v>
      </c>
      <c r="AZ41" s="46">
        <f t="shared" si="225"/>
        <v>-1048956.9541017809</v>
      </c>
      <c r="BA41" s="46">
        <f t="shared" si="225"/>
        <v>-1058787.2631677648</v>
      </c>
      <c r="BB41" s="46">
        <f t="shared" si="225"/>
        <v>-1057194.7391647352</v>
      </c>
      <c r="BC41" s="46">
        <f t="shared" si="225"/>
        <v>-1054947.6412934014</v>
      </c>
      <c r="BD41" s="46">
        <f t="shared" si="225"/>
        <v>-1052746.4025622988</v>
      </c>
      <c r="BE41" s="46">
        <f t="shared" si="225"/>
        <v>-1051908.7204077204</v>
      </c>
      <c r="BF41" s="46">
        <f t="shared" si="225"/>
        <v>-1049796.411354634</v>
      </c>
      <c r="BG41" s="46">
        <f t="shared" si="225"/>
        <v>-1059115.4575793471</v>
      </c>
      <c r="BH41" s="46">
        <f t="shared" si="225"/>
        <v>-1076301.3102123777</v>
      </c>
      <c r="BI41" s="46">
        <f t="shared" si="225"/>
        <v>-1093136.4311590199</v>
      </c>
      <c r="BJ41" s="46">
        <f t="shared" si="225"/>
        <v>-1109627.9782087919</v>
      </c>
      <c r="BK41" s="46">
        <f t="shared" si="225"/>
        <v>-1125782.9630738746</v>
      </c>
      <c r="BL41" s="46">
        <f t="shared" si="225"/>
        <v>-1141608.2543702822</v>
      </c>
      <c r="BM41" s="46">
        <f t="shared" si="225"/>
        <v>-1133135.5726373624</v>
      </c>
      <c r="BN41" s="46">
        <f t="shared" si="225"/>
        <v>-1116073.4556451205</v>
      </c>
      <c r="BO41" s="46">
        <f t="shared" ref="BO41:DZ41" si="226">BN41+BO40</f>
        <v>-1098823.0748895719</v>
      </c>
      <c r="BP41" s="46">
        <f t="shared" si="226"/>
        <v>-1081924.7427208712</v>
      </c>
      <c r="BQ41" s="46">
        <f t="shared" si="226"/>
        <v>-1066400.868323013</v>
      </c>
      <c r="BR41" s="46">
        <f t="shared" si="226"/>
        <v>-1050185.2259587119</v>
      </c>
      <c r="BS41" s="46">
        <f t="shared" si="226"/>
        <v>-1043192.5009327625</v>
      </c>
      <c r="BT41" s="46">
        <f t="shared" si="226"/>
        <v>-1042633.4133535946</v>
      </c>
      <c r="BU41" s="46">
        <f t="shared" si="226"/>
        <v>-1042085.7357250219</v>
      </c>
      <c r="BV41" s="46">
        <f t="shared" si="226"/>
        <v>-1041549.2351909099</v>
      </c>
      <c r="BW41" s="46">
        <f t="shared" si="226"/>
        <v>-1041023.68364729</v>
      </c>
      <c r="BX41" s="46">
        <f t="shared" si="226"/>
        <v>-1040508.8576453766</v>
      </c>
      <c r="BY41" s="46">
        <f t="shared" si="226"/>
        <v>-1033893.3560108478</v>
      </c>
      <c r="BZ41" s="46">
        <f t="shared" si="226"/>
        <v>-1020571.191151033</v>
      </c>
      <c r="CA41" s="46">
        <f t="shared" si="226"/>
        <v>-1007102.029239619</v>
      </c>
      <c r="CB41" s="46">
        <f t="shared" si="226"/>
        <v>-993907.74818354007</v>
      </c>
      <c r="CC41" s="46">
        <f t="shared" si="226"/>
        <v>-981786.64890345884</v>
      </c>
      <c r="CD41" s="46">
        <f t="shared" si="226"/>
        <v>-969125.41460391448</v>
      </c>
      <c r="CE41" s="46">
        <f t="shared" si="226"/>
        <v>-963665.46870989632</v>
      </c>
      <c r="CF41" s="46">
        <f t="shared" si="226"/>
        <v>-963228.9310338191</v>
      </c>
      <c r="CG41" s="46">
        <f t="shared" si="226"/>
        <v>-962801.30228990677</v>
      </c>
      <c r="CH41" s="46">
        <f t="shared" si="226"/>
        <v>-962382.40066321718</v>
      </c>
      <c r="CI41" s="46">
        <f t="shared" si="226"/>
        <v>-961972.04804931709</v>
      </c>
      <c r="CJ41" s="46">
        <f t="shared" si="226"/>
        <v>-961570.06997855788</v>
      </c>
      <c r="CK41" s="46">
        <f t="shared" si="226"/>
        <v>-956404.66152158624</v>
      </c>
      <c r="CL41" s="46">
        <f t="shared" si="226"/>
        <v>-946002.66529610136</v>
      </c>
      <c r="CM41" s="46">
        <f t="shared" si="226"/>
        <v>-935485.89322209766</v>
      </c>
      <c r="CN41" s="46">
        <f t="shared" si="226"/>
        <v>-925183.74914960423</v>
      </c>
      <c r="CO41" s="46">
        <f t="shared" si="226"/>
        <v>-915719.54942779674</v>
      </c>
      <c r="CP41" s="46">
        <f t="shared" si="226"/>
        <v>-905833.61025952315</v>
      </c>
      <c r="CQ41" s="46">
        <f t="shared" si="226"/>
        <v>-901570.4640532902</v>
      </c>
      <c r="CR41" s="46">
        <f t="shared" si="226"/>
        <v>-901229.61380060087</v>
      </c>
      <c r="CS41" s="46">
        <f t="shared" si="226"/>
        <v>-900895.71967551741</v>
      </c>
      <c r="CT41" s="46">
        <f t="shared" si="226"/>
        <v>-900568.63971625199</v>
      </c>
      <c r="CU41" s="46">
        <f t="shared" si="226"/>
        <v>-900248.23485819611</v>
      </c>
      <c r="CV41" s="46">
        <f t="shared" si="226"/>
        <v>-899934.36887479445</v>
      </c>
      <c r="CW41" s="46">
        <f t="shared" si="226"/>
        <v>-895901.19860270293</v>
      </c>
      <c r="CX41" s="46">
        <f t="shared" si="226"/>
        <v>-887779.28098544059</v>
      </c>
      <c r="CY41" s="46">
        <f t="shared" si="226"/>
        <v>-879567.74595572078</v>
      </c>
      <c r="CZ41" s="46">
        <f t="shared" si="226"/>
        <v>-871523.79327354627</v>
      </c>
      <c r="DA41" s="46">
        <f t="shared" si="226"/>
        <v>-864134.11067920807</v>
      </c>
      <c r="DB41" s="46">
        <f t="shared" si="226"/>
        <v>-856415.13234529295</v>
      </c>
      <c r="DC41" s="46">
        <f t="shared" si="226"/>
        <v>-853086.45181832474</v>
      </c>
      <c r="DD41" s="46">
        <f t="shared" si="226"/>
        <v>-852820.31466424814</v>
      </c>
      <c r="DE41" s="46">
        <f t="shared" si="226"/>
        <v>-852559.60888066294</v>
      </c>
      <c r="DF41" s="46">
        <f t="shared" si="226"/>
        <v>-852304.22362327331</v>
      </c>
      <c r="DG41" s="46">
        <f t="shared" si="226"/>
        <v>-852054.05030991207</v>
      </c>
      <c r="DH41" s="46">
        <f t="shared" si="226"/>
        <v>-851808.98257437453</v>
      </c>
      <c r="DI41" s="46">
        <f t="shared" si="226"/>
        <v>-848659.86811824131</v>
      </c>
      <c r="DJ41" s="46">
        <f t="shared" si="226"/>
        <v>-842318.24441913061</v>
      </c>
      <c r="DK41" s="46">
        <f t="shared" si="226"/>
        <v>-835906.64710867894</v>
      </c>
      <c r="DL41" s="46">
        <f t="shared" si="226"/>
        <v>-829625.89872293035</v>
      </c>
      <c r="DM41" s="46">
        <f t="shared" si="226"/>
        <v>-823856.00687256735</v>
      </c>
      <c r="DN41" s="46">
        <f t="shared" si="226"/>
        <v>-817828.99967524759</v>
      </c>
      <c r="DO41" s="46">
        <f t="shared" si="226"/>
        <v>-815229.9534510253</v>
      </c>
      <c r="DP41" s="46">
        <f t="shared" si="226"/>
        <v>-815022.15256421024</v>
      </c>
      <c r="DQ41" s="46">
        <f t="shared" si="226"/>
        <v>-814818.59251182002</v>
      </c>
      <c r="DR41" s="46">
        <f t="shared" si="226"/>
        <v>-814619.18674621324</v>
      </c>
      <c r="DS41" s="46">
        <f t="shared" si="226"/>
        <v>-814423.85048602696</v>
      </c>
      <c r="DT41" s="46">
        <f t="shared" si="226"/>
        <v>-814232.50068013021</v>
      </c>
      <c r="DU41" s="46">
        <f t="shared" si="226"/>
        <v>-811773.66031664493</v>
      </c>
      <c r="DV41" s="46">
        <f t="shared" si="226"/>
        <v>-806822.09677755565</v>
      </c>
      <c r="DW41" s="46">
        <f t="shared" si="226"/>
        <v>-801815.89758062013</v>
      </c>
      <c r="DX41" s="46">
        <f t="shared" si="226"/>
        <v>-796911.8657142343</v>
      </c>
      <c r="DY41" s="46">
        <f t="shared" si="226"/>
        <v>-792406.7125442737</v>
      </c>
      <c r="DZ41" s="46">
        <f t="shared" si="226"/>
        <v>-787700.80274829164</v>
      </c>
      <c r="EA41" s="46">
        <f t="shared" ref="EA41:GL41" si="227">DZ41+EA40</f>
        <v>-785671.45772076002</v>
      </c>
      <c r="EB41" s="46">
        <f t="shared" si="227"/>
        <v>-785509.20600994222</v>
      </c>
      <c r="EC41" s="46">
        <f t="shared" si="227"/>
        <v>-785350.26555852883</v>
      </c>
      <c r="ED41" s="46">
        <f t="shared" si="227"/>
        <v>-785194.56878979737</v>
      </c>
      <c r="EE41" s="46">
        <f t="shared" si="227"/>
        <v>-785042.04950614204</v>
      </c>
      <c r="EF41" s="46">
        <f t="shared" si="227"/>
        <v>-784892.64286092867</v>
      </c>
      <c r="EG41" s="46">
        <f t="shared" si="227"/>
        <v>-782972.77109465178</v>
      </c>
      <c r="EH41" s="46">
        <f t="shared" si="227"/>
        <v>-779106.57173547556</v>
      </c>
      <c r="EI41" s="46">
        <f t="shared" si="227"/>
        <v>-775197.71264999558</v>
      </c>
      <c r="EJ41" s="46">
        <f t="shared" si="227"/>
        <v>-771368.62619891309</v>
      </c>
      <c r="EK41" s="46">
        <f t="shared" si="227"/>
        <v>-767850.98572814255</v>
      </c>
      <c r="EL41" s="46">
        <f t="shared" si="227"/>
        <v>-764176.59373176855</v>
      </c>
      <c r="EM41" s="46">
        <f t="shared" si="227"/>
        <v>-762592.07353263302</v>
      </c>
      <c r="EN41" s="46">
        <f t="shared" si="227"/>
        <v>-762465.38678905449</v>
      </c>
      <c r="EO41" s="46">
        <f t="shared" si="227"/>
        <v>-762341.2854892225</v>
      </c>
      <c r="EP41" s="46">
        <f t="shared" si="227"/>
        <v>-762219.71686897893</v>
      </c>
      <c r="EQ41" s="46">
        <f t="shared" si="227"/>
        <v>-762100.62924098526</v>
      </c>
      <c r="ER41" s="46">
        <f t="shared" si="227"/>
        <v>-761983.97197274654</v>
      </c>
      <c r="ES41" s="46">
        <f t="shared" si="227"/>
        <v>-760484.92890607007</v>
      </c>
      <c r="ET41" s="46">
        <f t="shared" si="227"/>
        <v>-757466.1859641904</v>
      </c>
      <c r="EU41" s="46">
        <f t="shared" si="227"/>
        <v>-754414.13414821541</v>
      </c>
      <c r="EV41" s="46">
        <f t="shared" si="227"/>
        <v>-751424.36910399504</v>
      </c>
      <c r="EW41" s="46">
        <f t="shared" si="227"/>
        <v>-748677.78224783472</v>
      </c>
      <c r="EX41" s="46">
        <f t="shared" si="227"/>
        <v>-745808.80321331427</v>
      </c>
      <c r="EY41" s="46">
        <f t="shared" si="227"/>
        <v>-744571.60390644113</v>
      </c>
      <c r="EZ41" s="46">
        <f t="shared" si="227"/>
        <v>-744472.68642250448</v>
      </c>
      <c r="FA41" s="46">
        <f t="shared" si="227"/>
        <v>-744375.78766272974</v>
      </c>
      <c r="FB41" s="46">
        <f t="shared" si="227"/>
        <v>-744280.86642866477</v>
      </c>
      <c r="FC41" s="46">
        <f t="shared" si="227"/>
        <v>-744187.88236264186</v>
      </c>
      <c r="FD41" s="46">
        <f t="shared" si="227"/>
        <v>-744096.79593061947</v>
      </c>
      <c r="FE41" s="46">
        <f t="shared" si="227"/>
        <v>-742926.33748895559</v>
      </c>
      <c r="FF41" s="46">
        <f t="shared" si="227"/>
        <v>-740569.29169215274</v>
      </c>
      <c r="FG41" s="46">
        <f t="shared" si="227"/>
        <v>-738186.23820168595</v>
      </c>
      <c r="FH41" s="46">
        <f t="shared" si="227"/>
        <v>-735851.81845592253</v>
      </c>
      <c r="FI41" s="46">
        <f t="shared" si="227"/>
        <v>-733707.27315030748</v>
      </c>
      <c r="FJ41" s="46">
        <f t="shared" si="227"/>
        <v>-731467.16357336496</v>
      </c>
      <c r="FK41" s="46">
        <f t="shared" si="227"/>
        <v>-730501.15372018516</v>
      </c>
      <c r="FL41" s="46">
        <f t="shared" si="227"/>
        <v>-730423.91857819655</v>
      </c>
      <c r="FM41" s="46">
        <f t="shared" si="227"/>
        <v>-730348.25966359547</v>
      </c>
      <c r="FN41" s="46">
        <f t="shared" si="227"/>
        <v>-730274.14480847598</v>
      </c>
      <c r="FO41" s="46">
        <f t="shared" si="227"/>
        <v>-730201.54250142013</v>
      </c>
      <c r="FP41" s="46">
        <f t="shared" si="227"/>
        <v>-730130.42187410023</v>
      </c>
      <c r="FQ41" s="46">
        <f t="shared" si="227"/>
        <v>-729216.5235384776</v>
      </c>
      <c r="FR41" s="46">
        <f t="shared" si="227"/>
        <v>-727376.13335117442</v>
      </c>
      <c r="FS41" s="46">
        <f t="shared" si="227"/>
        <v>-725515.43625923723</v>
      </c>
      <c r="FT41" s="46">
        <f t="shared" si="227"/>
        <v>-723692.71257733961</v>
      </c>
      <c r="FU41" s="46">
        <f t="shared" si="227"/>
        <v>-722018.24356955255</v>
      </c>
      <c r="FV41" s="46">
        <f t="shared" si="227"/>
        <v>-720269.15762074292</v>
      </c>
      <c r="FW41" s="46">
        <f t="shared" si="227"/>
        <v>-719514.89350884408</v>
      </c>
      <c r="FX41" s="46">
        <f t="shared" si="227"/>
        <v>-719454.58802066743</v>
      </c>
      <c r="FY41" s="46">
        <f t="shared" si="227"/>
        <v>-719395.51325673936</v>
      </c>
      <c r="FZ41" s="46">
        <f t="shared" si="227"/>
        <v>-719337.64410023834</v>
      </c>
      <c r="GA41" s="46">
        <f t="shared" si="227"/>
        <v>-719280.95594693127</v>
      </c>
      <c r="GB41" s="46">
        <f t="shared" si="227"/>
        <v>-719225.42469471204</v>
      </c>
      <c r="GC41" s="46">
        <f t="shared" si="227"/>
        <v>-718511.8494509242</v>
      </c>
      <c r="GD41" s="46">
        <f t="shared" si="227"/>
        <v>-717074.86589883699</v>
      </c>
      <c r="GE41" s="46">
        <f t="shared" si="227"/>
        <v>-715622.02663954487</v>
      </c>
      <c r="GF41" s="46">
        <f t="shared" si="227"/>
        <v>-714198.8371610546</v>
      </c>
      <c r="GG41" s="46">
        <f t="shared" si="227"/>
        <v>-712891.40548745089</v>
      </c>
      <c r="GH41" s="46">
        <f t="shared" si="227"/>
        <v>-711525.71262679226</v>
      </c>
      <c r="GI41" s="46">
        <f t="shared" si="227"/>
        <v>-710936.78038285521</v>
      </c>
      <c r="GJ41" s="46">
        <f t="shared" si="227"/>
        <v>-710889.69363179104</v>
      </c>
      <c r="GK41" s="46">
        <f t="shared" si="227"/>
        <v>-710843.56783483026</v>
      </c>
      <c r="GL41" s="46">
        <f t="shared" si="227"/>
        <v>-710798.38338066463</v>
      </c>
      <c r="GM41" s="46">
        <f t="shared" ref="GM41:IG41" si="228">GL41+GM40</f>
        <v>-710754.12105821667</v>
      </c>
      <c r="GN41" s="46">
        <f t="shared" si="228"/>
        <v>-710710.76204847172</v>
      </c>
      <c r="GO41" s="46">
        <f t="shared" si="228"/>
        <v>-710153.59982517047</v>
      </c>
      <c r="GP41" s="46">
        <f t="shared" si="228"/>
        <v>-709031.59768496407</v>
      </c>
      <c r="GQ41" s="46">
        <f t="shared" si="228"/>
        <v>-707897.21534917888</v>
      </c>
      <c r="GR41" s="46">
        <f t="shared" si="228"/>
        <v>-706785.98367330758</v>
      </c>
      <c r="GS41" s="46">
        <f t="shared" si="228"/>
        <v>-705765.13612510404</v>
      </c>
      <c r="GT41" s="46">
        <f t="shared" si="228"/>
        <v>-704698.7980238098</v>
      </c>
      <c r="GU41" s="46">
        <f t="shared" si="228"/>
        <v>-704238.95752168703</v>
      </c>
      <c r="GV41" s="46">
        <f t="shared" si="228"/>
        <v>-704202.1920100759</v>
      </c>
      <c r="GW41" s="46">
        <f t="shared" si="228"/>
        <v>-704166.17681502819</v>
      </c>
      <c r="GX41" s="46">
        <f t="shared" si="228"/>
        <v>-704130.89662396105</v>
      </c>
      <c r="GY41" s="46">
        <f t="shared" si="228"/>
        <v>-704096.33643679332</v>
      </c>
      <c r="GZ41" s="46">
        <f t="shared" si="228"/>
        <v>-704062.48155956774</v>
      </c>
      <c r="HA41" s="46">
        <f t="shared" si="228"/>
        <v>-703627.44720856345</v>
      </c>
      <c r="HB41" s="46">
        <f t="shared" si="228"/>
        <v>-702751.38373462926</v>
      </c>
      <c r="HC41" s="46">
        <f t="shared" si="228"/>
        <v>-701865.65375761269</v>
      </c>
      <c r="HD41" s="46">
        <f t="shared" si="228"/>
        <v>-700997.99990257598</v>
      </c>
      <c r="HE41" s="46">
        <f t="shared" si="228"/>
        <v>-700200.91831298836</v>
      </c>
      <c r="HF41" s="46">
        <f t="shared" si="228"/>
        <v>-699368.31752914644</v>
      </c>
      <c r="HG41" s="46">
        <f t="shared" si="228"/>
        <v>-699009.27234259166</v>
      </c>
      <c r="HH41" s="46">
        <f t="shared" si="228"/>
        <v>-698980.56569340732</v>
      </c>
      <c r="HI41" s="46">
        <f t="shared" si="228"/>
        <v>-698952.44489420624</v>
      </c>
      <c r="HJ41" s="46">
        <f t="shared" si="228"/>
        <v>-698924.89798886643</v>
      </c>
      <c r="HK41" s="46">
        <f t="shared" si="228"/>
        <v>-698897.91326526832</v>
      </c>
      <c r="HL41" s="46">
        <f t="shared" si="228"/>
        <v>-698871.47925031499</v>
      </c>
      <c r="HM41" s="46">
        <f t="shared" si="228"/>
        <v>-698531.80279947375</v>
      </c>
      <c r="HN41" s="46">
        <f t="shared" si="228"/>
        <v>-697847.7691574163</v>
      </c>
      <c r="HO41" s="46">
        <f t="shared" si="228"/>
        <v>-697156.18787354277</v>
      </c>
      <c r="HP41" s="46">
        <f t="shared" si="228"/>
        <v>-696478.72049342177</v>
      </c>
      <c r="HQ41" s="46">
        <f t="shared" si="228"/>
        <v>-695856.35620251717</v>
      </c>
      <c r="HR41" s="46">
        <f t="shared" si="228"/>
        <v>-695206.25839168881</v>
      </c>
      <c r="HS41" s="46">
        <f t="shared" si="228"/>
        <v>-694925.9145650944</v>
      </c>
      <c r="HT41" s="46">
        <f t="shared" si="228"/>
        <v>-694903.50030588021</v>
      </c>
      <c r="HU41" s="46">
        <f t="shared" si="228"/>
        <v>-694881.54348052747</v>
      </c>
      <c r="HV41" s="46">
        <f t="shared" si="228"/>
        <v>-694860.03475365136</v>
      </c>
      <c r="HW41" s="46">
        <f t="shared" si="228"/>
        <v>-694838.96498038492</v>
      </c>
      <c r="HX41" s="46">
        <f t="shared" si="228"/>
        <v>-694818.32520249125</v>
      </c>
      <c r="HY41" s="46">
        <f t="shared" si="228"/>
        <v>-694553.10455729463</v>
      </c>
      <c r="HZ41" s="46">
        <f t="shared" si="228"/>
        <v>-694019.00852728309</v>
      </c>
      <c r="IA41" s="46">
        <f t="shared" si="228"/>
        <v>-693479.0192702692</v>
      </c>
      <c r="IB41" s="46">
        <f t="shared" si="228"/>
        <v>-692950.05020217388</v>
      </c>
      <c r="IC41" s="46">
        <f t="shared" si="228"/>
        <v>-692464.10583254707</v>
      </c>
      <c r="ID41" s="46">
        <f t="shared" si="228"/>
        <v>-691956.50702667807</v>
      </c>
      <c r="IE41" s="46">
        <f t="shared" si="228"/>
        <v>-691737.61351674492</v>
      </c>
      <c r="IF41" s="46">
        <f t="shared" si="228"/>
        <v>-691720.11237918981</v>
      </c>
      <c r="IG41" s="46">
        <f t="shared" si="228"/>
        <v>-691702.96840770729</v>
      </c>
    </row>
    <row r="42" spans="1:241" x14ac:dyDescent="0.25">
      <c r="A42" s="58" t="s">
        <v>308</v>
      </c>
      <c r="B42" s="46">
        <f>NPV('Вхідні дані'!B13/12,B38:IG38)</f>
        <v>-691702.96840770799</v>
      </c>
    </row>
    <row r="43" spans="1:241" x14ac:dyDescent="0.25">
      <c r="A43" s="58" t="s">
        <v>307</v>
      </c>
      <c r="B43" s="45">
        <f>IRR(B38:IG38,0)*12</f>
        <v>0.12212785465546272</v>
      </c>
    </row>
    <row r="44" spans="1:241" x14ac:dyDescent="0.25">
      <c r="A44" s="58" t="s">
        <v>306</v>
      </c>
      <c r="B44" s="49">
        <f>(COUNTIF(B39:IG39,"&lt;0")+ABS(INDEX(B39:IG39,,COUNTIF(B39:IG39,"&lt;0")))/INDEX(B38:IG38,,COUNTIF(B39:IG39,"&lt;0")+1))/12</f>
        <v>10.149177545125337</v>
      </c>
      <c r="C44" s="59">
        <f>(COUNTIF(B39:IG39,"&lt;0")+ABS(INDEX(B39:IG39,,COUNTIF(B39:IG39,"&lt;0")))/INDEX(B38:IG38,,COUNTIF(B39:IG39,"&lt;0")+1))</f>
        <v>121.79013054150404</v>
      </c>
    </row>
    <row r="45" spans="1:241" x14ac:dyDescent="0.25">
      <c r="A45" s="58" t="s">
        <v>305</v>
      </c>
      <c r="B45" t="str">
        <f>IFERROR(((COUNTIF(B41:IG41,"&lt;0")+ABS(INDEX(B41:IG41,,COUNTIF(B41:IG41,"&lt;0")))/INDEX(B40:IG40,,COUNTIF(B41:IG41,"&lt;0")+1))/12), "більше 20")</f>
        <v>більше 20</v>
      </c>
      <c r="C45" t="str">
        <f>IFERROR(((COUNTIF(B41:IG41,"&lt;0")+ABS(INDEX(B41:IG41,,COUNTIF(B41:IG41,"&lt;0")))/INDEX(B40:IG40,,COUNTIF(B41:IG41,"&lt;0")+1))), "більше 240")</f>
        <v>більше 240</v>
      </c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B25" sqref="B25"/>
    </sheetView>
  </sheetViews>
  <sheetFormatPr defaultRowHeight="15" x14ac:dyDescent="0.25"/>
  <cols>
    <col min="1" max="1" width="9.140625" style="117"/>
    <col min="2" max="2" width="20" style="117" customWidth="1"/>
    <col min="3" max="3" width="47.140625" style="117" customWidth="1"/>
    <col min="4" max="4" width="23.5703125" style="117" customWidth="1"/>
    <col min="5" max="5" width="27.140625" style="117" customWidth="1"/>
    <col min="6" max="6" width="21.85546875" style="117" customWidth="1"/>
    <col min="7" max="7" width="10.28515625" style="117" customWidth="1"/>
    <col min="8" max="8" width="6.7109375" style="117" customWidth="1"/>
    <col min="9" max="9" width="21.140625" style="117" customWidth="1"/>
    <col min="10" max="10" width="14" style="117" customWidth="1"/>
    <col min="11" max="11" width="14.42578125" style="117" customWidth="1"/>
    <col min="12" max="16384" width="9.140625" style="117"/>
  </cols>
  <sheetData>
    <row r="2" spans="1:12" x14ac:dyDescent="0.25">
      <c r="A2" s="186" t="s">
        <v>200</v>
      </c>
      <c r="B2" s="187"/>
      <c r="C2" s="188"/>
      <c r="D2" s="188"/>
      <c r="E2" s="189" t="s">
        <v>199</v>
      </c>
      <c r="F2" s="189" t="s">
        <v>198</v>
      </c>
      <c r="G2" s="189" t="s">
        <v>197</v>
      </c>
      <c r="H2" s="190" t="s">
        <v>196</v>
      </c>
      <c r="J2" s="189" t="s">
        <v>195</v>
      </c>
      <c r="K2" s="189" t="s">
        <v>194</v>
      </c>
      <c r="L2" s="188"/>
    </row>
    <row r="3" spans="1:12" x14ac:dyDescent="0.25">
      <c r="A3" s="191" t="s">
        <v>193</v>
      </c>
      <c r="B3" s="192">
        <f>H3</f>
        <v>10</v>
      </c>
      <c r="C3" s="193">
        <f>SUM(B3:B3)</f>
        <v>10</v>
      </c>
      <c r="D3" s="188"/>
      <c r="E3" s="194">
        <f>'Калькулятор ОСББ'!B14/10</f>
        <v>880.1</v>
      </c>
      <c r="F3" s="191">
        <f>G3*1163</f>
        <v>1566041.139</v>
      </c>
      <c r="G3" s="192">
        <f>'Калькулятор ОСББ'!B14*VLOOKUP(Регіони!H2,Регіони!A1:F27,6,0)</f>
        <v>1346.5529999999999</v>
      </c>
      <c r="H3" s="192">
        <f>'Калькулятор ОСББ'!B18</f>
        <v>10</v>
      </c>
      <c r="J3" s="191">
        <f>'Калькулятор ОСББ'!B14*B3*6.5</f>
        <v>572065</v>
      </c>
      <c r="K3" s="191">
        <f>SUM(J3:J3)</f>
        <v>572065</v>
      </c>
      <c r="L3" s="188"/>
    </row>
    <row r="4" spans="1:12" x14ac:dyDescent="0.25">
      <c r="A4" s="220" t="s">
        <v>192</v>
      </c>
      <c r="B4" s="221"/>
      <c r="C4" s="195"/>
      <c r="D4" s="188"/>
      <c r="E4" s="196" t="s">
        <v>191</v>
      </c>
      <c r="F4" s="191"/>
      <c r="G4" s="191"/>
      <c r="J4" s="191"/>
      <c r="K4" s="191"/>
      <c r="L4" s="188"/>
    </row>
    <row r="5" spans="1:12" x14ac:dyDescent="0.25">
      <c r="H5" s="188"/>
      <c r="I5" s="188" t="s">
        <v>190</v>
      </c>
      <c r="J5" s="188">
        <f>J3*ОСББ!H25</f>
        <v>183060.80000000002</v>
      </c>
      <c r="K5" s="188"/>
      <c r="L5" s="188"/>
    </row>
    <row r="6" spans="1:12" x14ac:dyDescent="0.25">
      <c r="L6" s="188"/>
    </row>
    <row r="7" spans="1:12" x14ac:dyDescent="0.25">
      <c r="B7" s="189" t="s">
        <v>74</v>
      </c>
      <c r="C7" s="189" t="s">
        <v>189</v>
      </c>
      <c r="D7" s="197" t="s">
        <v>188</v>
      </c>
      <c r="I7" s="117" t="s">
        <v>187</v>
      </c>
      <c r="J7" s="117">
        <f>J5/6.5</f>
        <v>28163.200000000004</v>
      </c>
      <c r="L7" s="188"/>
    </row>
    <row r="8" spans="1:12" x14ac:dyDescent="0.25">
      <c r="B8" s="194" t="e">
        <f>#REF!</f>
        <v>#REF!</v>
      </c>
      <c r="C8" s="198" t="e">
        <f>VLOOKUP(#REF!,Регіони!B2:F27,5,0)</f>
        <v>#REF!</v>
      </c>
      <c r="D8" s="194" t="e">
        <f>VLOOKUP(#REF!,ОСББ!B1:G10,6,0)</f>
        <v>#REF!</v>
      </c>
      <c r="I8" s="117" t="s">
        <v>186</v>
      </c>
      <c r="J8" s="199">
        <f>J7/'Калькулятор ОСББ'!B14</f>
        <v>3.2000000000000006</v>
      </c>
      <c r="L8" s="188"/>
    </row>
    <row r="9" spans="1:12" x14ac:dyDescent="0.25">
      <c r="I9" s="117" t="s">
        <v>185</v>
      </c>
      <c r="J9" s="199">
        <f>J7/'Калькулятор ОСББ'!B17</f>
        <v>168.6419161676647</v>
      </c>
      <c r="K9" s="188"/>
      <c r="L9" s="188"/>
    </row>
    <row r="10" spans="1:12" x14ac:dyDescent="0.25">
      <c r="K10" s="188"/>
      <c r="L10" s="188"/>
    </row>
    <row r="11" spans="1:12" x14ac:dyDescent="0.25">
      <c r="I11" s="200" t="s">
        <v>184</v>
      </c>
      <c r="J11" s="199">
        <f>(J3/'Калькулятор ОСББ'!B17)/6.5</f>
        <v>527.00598802395211</v>
      </c>
      <c r="K11" s="188"/>
      <c r="L11" s="188"/>
    </row>
    <row r="12" spans="1:12" x14ac:dyDescent="0.25">
      <c r="I12" s="201" t="s">
        <v>183</v>
      </c>
      <c r="J12" s="202">
        <f>((J3-J5)/6.5)/'Калькулятор ОСББ'!B17</f>
        <v>358.36407185628741</v>
      </c>
      <c r="K12" s="188"/>
      <c r="L12" s="188"/>
    </row>
    <row r="13" spans="1:12" x14ac:dyDescent="0.25">
      <c r="J13" s="188"/>
      <c r="K13" s="188"/>
      <c r="L13" s="188"/>
    </row>
    <row r="14" spans="1:12" x14ac:dyDescent="0.25">
      <c r="J14" s="188"/>
      <c r="K14" s="188"/>
      <c r="L14" s="188"/>
    </row>
    <row r="15" spans="1:12" x14ac:dyDescent="0.25">
      <c r="J15" s="188"/>
      <c r="K15" s="188"/>
      <c r="L15" s="188"/>
    </row>
    <row r="16" spans="1:12" x14ac:dyDescent="0.25">
      <c r="L16" s="188"/>
    </row>
    <row r="17" spans="2:12" x14ac:dyDescent="0.25">
      <c r="L17" s="188"/>
    </row>
    <row r="18" spans="2:12" x14ac:dyDescent="0.25">
      <c r="B18" s="197" t="s">
        <v>182</v>
      </c>
      <c r="C18" s="197" t="s">
        <v>181</v>
      </c>
      <c r="D18" s="197" t="s">
        <v>180</v>
      </c>
      <c r="E18" s="197" t="s">
        <v>179</v>
      </c>
      <c r="F18" s="197" t="s">
        <v>96</v>
      </c>
      <c r="L18" s="188"/>
    </row>
    <row r="19" spans="2:12" x14ac:dyDescent="0.25">
      <c r="B19" s="191" t="s">
        <v>178</v>
      </c>
      <c r="C19" s="203" t="e">
        <f>IF(#REF!="Власні кошти",(#REF!-(IF(#REF!="Газовий котел",0,IF((#REF!-3000)&lt;25000,(#REF!-3000)*0.2,5000)))),0)</f>
        <v>#REF!</v>
      </c>
      <c r="D19" s="191">
        <v>0</v>
      </c>
      <c r="E19" s="191">
        <v>0</v>
      </c>
      <c r="F19" s="191"/>
      <c r="L19" s="188"/>
    </row>
    <row r="20" spans="2:12" x14ac:dyDescent="0.25">
      <c r="B20" s="191" t="s">
        <v>177</v>
      </c>
      <c r="C20" s="191" t="e">
        <f>IF(#REF!="Кредитні кошти",(#REF!-(IF(#REF!="Газовий котел",0,IF((#REF!-3000)&lt;25000,(#REF!-3000)*0.2,5000)))))</f>
        <v>#REF!</v>
      </c>
      <c r="D20" s="191"/>
      <c r="E20" s="191"/>
      <c r="F20" s="203" t="e">
        <f>SUM(C19+E23)</f>
        <v>#REF!</v>
      </c>
      <c r="L20" s="188"/>
    </row>
    <row r="22" spans="2:12" x14ac:dyDescent="0.25">
      <c r="B22" s="197" t="s">
        <v>176</v>
      </c>
      <c r="C22" s="197" t="s">
        <v>87</v>
      </c>
      <c r="D22" s="197" t="s">
        <v>175</v>
      </c>
      <c r="E22" s="197" t="s">
        <v>96</v>
      </c>
      <c r="H22" s="188"/>
    </row>
    <row r="23" spans="2:12" x14ac:dyDescent="0.25">
      <c r="C23" s="194" t="e">
        <f>C20</f>
        <v>#REF!</v>
      </c>
      <c r="D23" s="198" t="e">
        <f>C20*(0.03)+C20*#REF!*0.0208</f>
        <v>#REF!</v>
      </c>
      <c r="E23" s="204" t="e">
        <f>D23+C23</f>
        <v>#REF!</v>
      </c>
    </row>
  </sheetData>
  <mergeCells count="1">
    <mergeCell ref="A4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K9" sqref="K9"/>
    </sheetView>
  </sheetViews>
  <sheetFormatPr defaultRowHeight="15" x14ac:dyDescent="0.25"/>
  <cols>
    <col min="1" max="1" width="5" customWidth="1"/>
    <col min="2" max="2" width="17.28515625" customWidth="1"/>
    <col min="3" max="3" width="6.140625" customWidth="1"/>
    <col min="4" max="4" width="6.5703125" customWidth="1"/>
    <col min="5" max="5" width="10.7109375" customWidth="1"/>
    <col min="6" max="6" width="14.140625" style="39" customWidth="1"/>
  </cols>
  <sheetData>
    <row r="1" spans="1:8" ht="17.25" customHeight="1" x14ac:dyDescent="0.25">
      <c r="B1" s="9" t="s">
        <v>232</v>
      </c>
      <c r="C1" s="21" t="s">
        <v>231</v>
      </c>
      <c r="D1" s="21" t="s">
        <v>230</v>
      </c>
      <c r="E1" s="44" t="s">
        <v>229</v>
      </c>
      <c r="F1" s="9" t="s">
        <v>189</v>
      </c>
      <c r="G1" s="39" t="s">
        <v>228</v>
      </c>
    </row>
    <row r="2" spans="1:8" ht="42" x14ac:dyDescent="0.35">
      <c r="A2" s="9">
        <v>0</v>
      </c>
      <c r="B2" s="42" t="s">
        <v>227</v>
      </c>
      <c r="C2" s="41">
        <v>-21</v>
      </c>
      <c r="D2" s="41">
        <v>2.2000000000000002</v>
      </c>
      <c r="E2" s="41">
        <v>157</v>
      </c>
      <c r="F2" s="21">
        <v>0.108</v>
      </c>
      <c r="G2" s="21"/>
      <c r="H2">
        <v>16</v>
      </c>
    </row>
    <row r="3" spans="1:8" ht="42" x14ac:dyDescent="0.35">
      <c r="A3" s="9">
        <v>1</v>
      </c>
      <c r="B3" s="42" t="s">
        <v>226</v>
      </c>
      <c r="C3" s="41">
        <v>-21</v>
      </c>
      <c r="D3" s="41">
        <v>-0.2</v>
      </c>
      <c r="E3" s="41">
        <v>182</v>
      </c>
      <c r="F3" s="21">
        <v>0.15</v>
      </c>
      <c r="G3" s="21">
        <v>719</v>
      </c>
    </row>
    <row r="4" spans="1:8" ht="42" x14ac:dyDescent="0.35">
      <c r="A4" s="9">
        <v>2</v>
      </c>
      <c r="B4" s="42" t="s">
        <v>225</v>
      </c>
      <c r="C4" s="41">
        <v>-20</v>
      </c>
      <c r="D4" s="41">
        <v>0.3</v>
      </c>
      <c r="E4" s="41">
        <v>180</v>
      </c>
      <c r="F4" s="21">
        <v>0.14199999999999999</v>
      </c>
      <c r="G4" s="21">
        <v>695</v>
      </c>
    </row>
    <row r="5" spans="1:8" ht="63" x14ac:dyDescent="0.35">
      <c r="A5" s="9">
        <v>3</v>
      </c>
      <c r="B5" s="42" t="s">
        <v>224</v>
      </c>
      <c r="C5" s="41">
        <v>-24</v>
      </c>
      <c r="D5" s="41">
        <v>-0.2</v>
      </c>
      <c r="E5" s="41">
        <v>172</v>
      </c>
      <c r="F5" s="21">
        <v>0.13500000000000001</v>
      </c>
      <c r="G5" s="21">
        <v>662</v>
      </c>
    </row>
    <row r="6" spans="1:8" ht="42" x14ac:dyDescent="0.35">
      <c r="A6" s="9">
        <v>4</v>
      </c>
      <c r="B6" s="42" t="s">
        <v>223</v>
      </c>
      <c r="C6" s="41">
        <v>-22</v>
      </c>
      <c r="D6" s="41">
        <v>-0.5</v>
      </c>
      <c r="E6" s="41">
        <v>176</v>
      </c>
      <c r="F6" s="21">
        <v>0.14899999999999999</v>
      </c>
      <c r="G6" s="21">
        <v>352</v>
      </c>
    </row>
    <row r="7" spans="1:8" ht="63" x14ac:dyDescent="0.35">
      <c r="A7" s="9">
        <v>5</v>
      </c>
      <c r="B7" s="42" t="s">
        <v>222</v>
      </c>
      <c r="C7" s="41">
        <v>-22</v>
      </c>
      <c r="D7" s="41">
        <v>-0.2</v>
      </c>
      <c r="E7" s="41">
        <v>184</v>
      </c>
      <c r="F7" s="21">
        <v>0.151</v>
      </c>
      <c r="G7" s="21">
        <v>655</v>
      </c>
    </row>
    <row r="8" spans="1:8" ht="63" x14ac:dyDescent="0.35">
      <c r="A8" s="9">
        <v>6</v>
      </c>
      <c r="B8" s="42" t="s">
        <v>221</v>
      </c>
      <c r="C8" s="41">
        <v>-18</v>
      </c>
      <c r="D8" s="41">
        <v>1.4</v>
      </c>
      <c r="E8" s="41">
        <v>154</v>
      </c>
      <c r="F8" s="21">
        <v>0.11700000000000001</v>
      </c>
      <c r="G8" s="21">
        <v>625</v>
      </c>
    </row>
    <row r="9" spans="1:8" ht="42" x14ac:dyDescent="0.35">
      <c r="A9" s="9">
        <v>7</v>
      </c>
      <c r="B9" s="42" t="s">
        <v>220</v>
      </c>
      <c r="C9" s="41">
        <v>-24</v>
      </c>
      <c r="D9" s="41">
        <v>0.6</v>
      </c>
      <c r="E9" s="41">
        <v>166</v>
      </c>
      <c r="F9" s="21">
        <v>0.13300000000000001</v>
      </c>
      <c r="G9" s="21">
        <v>509</v>
      </c>
    </row>
    <row r="10" spans="1:8" ht="63" x14ac:dyDescent="0.35">
      <c r="A10" s="9">
        <v>8</v>
      </c>
      <c r="B10" s="42" t="s">
        <v>219</v>
      </c>
      <c r="C10" s="41">
        <v>-20</v>
      </c>
      <c r="D10" s="41">
        <v>0.4</v>
      </c>
      <c r="E10" s="41">
        <v>179</v>
      </c>
      <c r="F10" s="21">
        <v>0.14099999999999999</v>
      </c>
      <c r="G10" s="21">
        <v>544</v>
      </c>
    </row>
    <row r="11" spans="1:8" ht="21" x14ac:dyDescent="0.35">
      <c r="A11" s="9">
        <v>9</v>
      </c>
      <c r="B11" s="42" t="s">
        <v>218</v>
      </c>
      <c r="C11" s="41">
        <v>-22</v>
      </c>
      <c r="D11" s="41">
        <v>-0.1</v>
      </c>
      <c r="E11" s="41">
        <v>176</v>
      </c>
      <c r="F11" s="21">
        <v>0.14699999999999999</v>
      </c>
      <c r="G11" s="21">
        <v>1320</v>
      </c>
    </row>
    <row r="12" spans="1:8" ht="42" x14ac:dyDescent="0.35">
      <c r="A12" s="9">
        <v>10</v>
      </c>
      <c r="B12" s="42" t="s">
        <v>217</v>
      </c>
      <c r="C12" s="41">
        <v>-22</v>
      </c>
      <c r="D12" s="41">
        <v>-0.1</v>
      </c>
      <c r="E12" s="41">
        <v>176</v>
      </c>
      <c r="F12" s="21">
        <v>0.14799999999999999</v>
      </c>
      <c r="G12" s="21">
        <v>850</v>
      </c>
    </row>
    <row r="13" spans="1:8" ht="63" x14ac:dyDescent="0.35">
      <c r="A13" s="9">
        <v>11</v>
      </c>
      <c r="B13" s="42" t="s">
        <v>216</v>
      </c>
      <c r="C13" s="41">
        <v>-22</v>
      </c>
      <c r="D13" s="41">
        <v>-0.3</v>
      </c>
      <c r="E13" s="41">
        <v>175</v>
      </c>
      <c r="F13" s="21">
        <v>0.14399999999999999</v>
      </c>
      <c r="G13" s="21">
        <v>574</v>
      </c>
    </row>
    <row r="14" spans="1:8" ht="42" x14ac:dyDescent="0.35">
      <c r="A14" s="9">
        <v>12</v>
      </c>
      <c r="B14" s="42" t="s">
        <v>215</v>
      </c>
      <c r="C14" s="41">
        <v>-25</v>
      </c>
      <c r="D14" s="41">
        <v>-0.4</v>
      </c>
      <c r="E14" s="41">
        <v>172</v>
      </c>
      <c r="F14" s="21">
        <v>0.14399999999999999</v>
      </c>
      <c r="G14" s="21">
        <v>405</v>
      </c>
    </row>
    <row r="15" spans="1:8" ht="42" x14ac:dyDescent="0.35">
      <c r="A15" s="9">
        <v>13</v>
      </c>
      <c r="B15" s="42" t="s">
        <v>214</v>
      </c>
      <c r="C15" s="41">
        <v>-19</v>
      </c>
      <c r="D15" s="41">
        <v>0.4</v>
      </c>
      <c r="E15" s="41">
        <v>179</v>
      </c>
      <c r="F15" s="21">
        <v>0.14899999999999999</v>
      </c>
      <c r="G15" s="21">
        <v>1255</v>
      </c>
    </row>
    <row r="16" spans="1:8" ht="42" x14ac:dyDescent="0.35">
      <c r="A16" s="9">
        <v>14</v>
      </c>
      <c r="B16" s="42" t="s">
        <v>213</v>
      </c>
      <c r="C16" s="41">
        <v>-20</v>
      </c>
      <c r="D16" s="41">
        <v>1.1000000000000001</v>
      </c>
      <c r="E16" s="41">
        <v>161</v>
      </c>
      <c r="F16" s="21">
        <v>0.123</v>
      </c>
      <c r="G16" s="21">
        <v>599</v>
      </c>
    </row>
    <row r="17" spans="1:7" ht="42" x14ac:dyDescent="0.25">
      <c r="A17" s="9">
        <v>15</v>
      </c>
      <c r="B17" s="43" t="s">
        <v>212</v>
      </c>
      <c r="C17" s="41">
        <v>-18</v>
      </c>
      <c r="D17" s="41">
        <v>2</v>
      </c>
      <c r="E17" s="41">
        <v>158</v>
      </c>
      <c r="F17" s="21">
        <v>0.13200000000000001</v>
      </c>
      <c r="G17" s="21">
        <v>900</v>
      </c>
    </row>
    <row r="18" spans="1:7" ht="42" x14ac:dyDescent="0.35">
      <c r="A18" s="9">
        <v>16</v>
      </c>
      <c r="B18" s="42" t="s">
        <v>211</v>
      </c>
      <c r="C18" s="41">
        <v>-23</v>
      </c>
      <c r="D18" s="41">
        <v>-0.8</v>
      </c>
      <c r="E18" s="41">
        <v>178</v>
      </c>
      <c r="F18" s="21">
        <v>0.153</v>
      </c>
      <c r="G18" s="21">
        <v>602</v>
      </c>
    </row>
    <row r="19" spans="1:7" ht="42" x14ac:dyDescent="0.35">
      <c r="A19" s="9">
        <v>17</v>
      </c>
      <c r="B19" s="42" t="s">
        <v>210</v>
      </c>
      <c r="C19" s="41">
        <v>-21</v>
      </c>
      <c r="D19" s="41">
        <v>0.1</v>
      </c>
      <c r="E19" s="41">
        <v>182</v>
      </c>
      <c r="F19" s="21">
        <v>0.14599999999999999</v>
      </c>
      <c r="G19" s="21">
        <v>695</v>
      </c>
    </row>
    <row r="20" spans="1:7" ht="42" x14ac:dyDescent="0.25">
      <c r="A20" s="9">
        <v>18</v>
      </c>
      <c r="B20" s="43" t="s">
        <v>209</v>
      </c>
      <c r="C20" s="41">
        <v>-25</v>
      </c>
      <c r="D20" s="41">
        <v>-1.4</v>
      </c>
      <c r="E20" s="41">
        <v>187</v>
      </c>
      <c r="F20" s="21">
        <v>0.16300000000000001</v>
      </c>
      <c r="G20" s="21">
        <v>633</v>
      </c>
    </row>
    <row r="21" spans="1:7" ht="63" x14ac:dyDescent="0.35">
      <c r="A21" s="9">
        <v>19</v>
      </c>
      <c r="B21" s="42" t="s">
        <v>208</v>
      </c>
      <c r="C21" s="41">
        <v>-20</v>
      </c>
      <c r="D21" s="41">
        <v>-0.2</v>
      </c>
      <c r="E21" s="41">
        <v>184</v>
      </c>
      <c r="F21" s="21">
        <v>0.14799999999999999</v>
      </c>
      <c r="G21" s="21">
        <v>631</v>
      </c>
    </row>
    <row r="22" spans="1:7" ht="42" x14ac:dyDescent="0.35">
      <c r="A22" s="9">
        <v>20</v>
      </c>
      <c r="B22" s="42" t="s">
        <v>207</v>
      </c>
      <c r="C22" s="41">
        <v>-23</v>
      </c>
      <c r="D22" s="41">
        <v>-1</v>
      </c>
      <c r="E22" s="41">
        <v>179</v>
      </c>
      <c r="F22" s="21">
        <v>0.158</v>
      </c>
      <c r="G22" s="21">
        <v>815</v>
      </c>
    </row>
    <row r="23" spans="1:7" ht="42" x14ac:dyDescent="0.35">
      <c r="A23" s="9">
        <v>21</v>
      </c>
      <c r="B23" s="42" t="s">
        <v>206</v>
      </c>
      <c r="C23" s="41">
        <v>-19</v>
      </c>
      <c r="D23" s="41">
        <v>1.3</v>
      </c>
      <c r="E23" s="41">
        <v>163</v>
      </c>
      <c r="F23" s="21">
        <v>0.126</v>
      </c>
      <c r="G23" s="21">
        <v>579</v>
      </c>
    </row>
    <row r="24" spans="1:7" ht="42" x14ac:dyDescent="0.35">
      <c r="A24" s="9">
        <v>22</v>
      </c>
      <c r="B24" s="42" t="s">
        <v>205</v>
      </c>
      <c r="C24" s="41">
        <v>-21</v>
      </c>
      <c r="D24" s="41">
        <v>-0.1</v>
      </c>
      <c r="E24" s="41">
        <v>183</v>
      </c>
      <c r="F24" s="21">
        <v>0.14799999999999999</v>
      </c>
      <c r="G24" s="21">
        <v>625</v>
      </c>
    </row>
    <row r="25" spans="1:7" ht="42" x14ac:dyDescent="0.35">
      <c r="A25" s="9">
        <v>23</v>
      </c>
      <c r="B25" s="42" t="s">
        <v>204</v>
      </c>
      <c r="C25" s="41">
        <v>-21</v>
      </c>
      <c r="D25" s="41">
        <v>-0.3</v>
      </c>
      <c r="E25" s="41">
        <v>178</v>
      </c>
      <c r="F25" s="21">
        <v>0.14899999999999999</v>
      </c>
      <c r="G25" s="21">
        <v>673</v>
      </c>
    </row>
    <row r="26" spans="1:7" ht="42" x14ac:dyDescent="0.35">
      <c r="A26" s="9">
        <v>24</v>
      </c>
      <c r="B26" s="42" t="s">
        <v>203</v>
      </c>
      <c r="C26" s="41">
        <v>-20</v>
      </c>
      <c r="D26" s="41">
        <v>0.5</v>
      </c>
      <c r="E26" s="41">
        <v>175</v>
      </c>
      <c r="F26" s="21">
        <v>0.13800000000000001</v>
      </c>
      <c r="G26" s="21">
        <v>1250</v>
      </c>
    </row>
    <row r="27" spans="1:7" ht="42" x14ac:dyDescent="0.35">
      <c r="A27" s="9">
        <v>25</v>
      </c>
      <c r="B27" s="42" t="s">
        <v>202</v>
      </c>
      <c r="C27" s="41">
        <v>-23</v>
      </c>
      <c r="D27" s="41">
        <v>-0.9</v>
      </c>
      <c r="E27" s="41">
        <v>187</v>
      </c>
      <c r="F27" s="21">
        <v>0.155</v>
      </c>
      <c r="G27" s="21">
        <v>649</v>
      </c>
    </row>
    <row r="28" spans="1:7" ht="105" x14ac:dyDescent="0.25">
      <c r="A28" s="40" t="s">
        <v>201</v>
      </c>
    </row>
  </sheetData>
  <hyperlinks>
    <hyperlink ref="A28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sqref="A1:XFD1048576"/>
    </sheetView>
  </sheetViews>
  <sheetFormatPr defaultRowHeight="15" x14ac:dyDescent="0.25"/>
  <cols>
    <col min="1" max="3" width="9.140625" style="97" customWidth="1"/>
    <col min="4" max="4" width="11.5703125" style="97" customWidth="1"/>
    <col min="5" max="9" width="9.140625" style="97"/>
    <col min="10" max="10" width="11.5703125" style="97" customWidth="1"/>
    <col min="11" max="16384" width="9.140625" style="97"/>
  </cols>
  <sheetData>
    <row r="1" spans="1:13" x14ac:dyDescent="0.25">
      <c r="A1" s="222" t="s">
        <v>246</v>
      </c>
      <c r="B1" s="222"/>
      <c r="C1" s="222"/>
      <c r="D1" s="222"/>
      <c r="E1" s="222"/>
      <c r="F1" s="222"/>
    </row>
    <row r="2" spans="1:13" x14ac:dyDescent="0.25">
      <c r="A2" s="222" t="s">
        <v>245</v>
      </c>
      <c r="B2" s="222"/>
      <c r="C2" s="222"/>
      <c r="D2" s="222"/>
      <c r="E2" s="222"/>
      <c r="F2" s="222"/>
    </row>
    <row r="3" spans="1:13" x14ac:dyDescent="0.25">
      <c r="A3" s="222" t="s">
        <v>244</v>
      </c>
      <c r="B3" s="222"/>
      <c r="C3" s="222"/>
      <c r="D3" s="222"/>
      <c r="E3" s="205">
        <v>3.6</v>
      </c>
      <c r="F3" s="206" t="s">
        <v>242</v>
      </c>
    </row>
    <row r="4" spans="1:13" x14ac:dyDescent="0.25">
      <c r="A4" s="222" t="s">
        <v>243</v>
      </c>
      <c r="B4" s="222"/>
      <c r="C4" s="222"/>
      <c r="D4" s="222"/>
      <c r="E4" s="206">
        <v>7.1879999999999997</v>
      </c>
      <c r="F4" s="206" t="s">
        <v>242</v>
      </c>
    </row>
    <row r="7" spans="1:13" x14ac:dyDescent="0.25">
      <c r="A7" s="207"/>
    </row>
    <row r="8" spans="1:13" x14ac:dyDescent="0.25">
      <c r="A8" s="208"/>
      <c r="B8" s="222" t="s">
        <v>241</v>
      </c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</row>
    <row r="9" spans="1:13" x14ac:dyDescent="0.25">
      <c r="A9" s="209" t="s">
        <v>240</v>
      </c>
      <c r="B9" s="210" t="s">
        <v>239</v>
      </c>
    </row>
    <row r="10" spans="1:13" x14ac:dyDescent="0.25">
      <c r="B10" s="223" t="s">
        <v>236</v>
      </c>
      <c r="C10" s="223"/>
      <c r="D10" s="223"/>
      <c r="E10" s="223"/>
      <c r="F10" s="223"/>
      <c r="G10" s="223"/>
      <c r="H10" s="223"/>
    </row>
    <row r="11" spans="1:13" x14ac:dyDescent="0.25">
      <c r="B11" s="223" t="s">
        <v>235</v>
      </c>
      <c r="C11" s="223"/>
      <c r="D11" s="223"/>
      <c r="E11" s="223"/>
      <c r="F11" s="223"/>
      <c r="G11" s="223"/>
      <c r="H11" s="223"/>
      <c r="I11" s="206">
        <v>0.45600000000000002</v>
      </c>
      <c r="J11" s="206" t="s">
        <v>233</v>
      </c>
    </row>
    <row r="12" spans="1:13" x14ac:dyDescent="0.25">
      <c r="B12" s="223" t="s">
        <v>234</v>
      </c>
      <c r="C12" s="223"/>
      <c r="D12" s="223"/>
      <c r="E12" s="223"/>
      <c r="F12" s="223"/>
      <c r="G12" s="223"/>
      <c r="H12" s="223"/>
      <c r="I12" s="206">
        <v>1.4790000000000001</v>
      </c>
      <c r="J12" s="206" t="s">
        <v>233</v>
      </c>
    </row>
    <row r="14" spans="1:13" x14ac:dyDescent="0.25">
      <c r="A14" s="209" t="s">
        <v>238</v>
      </c>
      <c r="B14" s="210" t="s">
        <v>237</v>
      </c>
    </row>
    <row r="15" spans="1:13" x14ac:dyDescent="0.25">
      <c r="B15" s="223" t="s">
        <v>236</v>
      </c>
      <c r="C15" s="223"/>
      <c r="D15" s="223"/>
      <c r="E15" s="223"/>
      <c r="F15" s="223"/>
      <c r="G15" s="223"/>
      <c r="H15" s="223"/>
    </row>
    <row r="16" spans="1:13" x14ac:dyDescent="0.25">
      <c r="B16" s="223" t="s">
        <v>235</v>
      </c>
      <c r="C16" s="223"/>
      <c r="D16" s="223"/>
      <c r="E16" s="223"/>
      <c r="F16" s="223"/>
      <c r="G16" s="223"/>
      <c r="H16" s="223"/>
      <c r="I16" s="206">
        <v>0.45600000000000002</v>
      </c>
      <c r="J16" s="206" t="s">
        <v>233</v>
      </c>
    </row>
    <row r="17" spans="2:10" x14ac:dyDescent="0.25">
      <c r="B17" s="223" t="s">
        <v>234</v>
      </c>
      <c r="C17" s="223"/>
      <c r="D17" s="223"/>
      <c r="E17" s="223"/>
      <c r="F17" s="223"/>
      <c r="G17" s="223"/>
      <c r="H17" s="223"/>
      <c r="I17" s="206">
        <v>1.4790000000000001</v>
      </c>
      <c r="J17" s="206" t="s">
        <v>233</v>
      </c>
    </row>
  </sheetData>
  <mergeCells count="11">
    <mergeCell ref="A3:D3"/>
    <mergeCell ref="A4:D4"/>
    <mergeCell ref="A2:F2"/>
    <mergeCell ref="A1:F1"/>
    <mergeCell ref="B17:H17"/>
    <mergeCell ref="B8:M8"/>
    <mergeCell ref="B11:H11"/>
    <mergeCell ref="B10:H10"/>
    <mergeCell ref="B12:H12"/>
    <mergeCell ref="B15:H15"/>
    <mergeCell ref="B16:H1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G67"/>
  <sheetViews>
    <sheetView topLeftCell="A9" workbookViewId="0">
      <selection activeCell="G20" sqref="G20"/>
    </sheetView>
  </sheetViews>
  <sheetFormatPr defaultColWidth="8.7109375" defaultRowHeight="14.25" x14ac:dyDescent="0.2"/>
  <cols>
    <col min="1" max="2" width="8.7109375" style="127"/>
    <col min="3" max="5" width="11.140625" style="127" customWidth="1"/>
    <col min="6" max="26" width="8.85546875" style="127" customWidth="1"/>
    <col min="27" max="28" width="8.7109375" style="127"/>
    <col min="29" max="29" width="8.7109375" style="127" customWidth="1"/>
    <col min="30" max="34" width="8.7109375" style="127"/>
    <col min="35" max="39" width="15.28515625" style="127" customWidth="1"/>
    <col min="40" max="58" width="14.28515625" style="127" customWidth="1"/>
    <col min="59" max="16384" width="8.7109375" style="127"/>
  </cols>
  <sheetData>
    <row r="1" spans="3:59" ht="15" customHeight="1" thickBot="1" x14ac:dyDescent="0.25"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6"/>
    </row>
    <row r="2" spans="3:59" ht="15" customHeight="1" x14ac:dyDescent="0.2">
      <c r="C2" s="251" t="str">
        <f>"Додаток 1 Розрахунок дисконтованого терміну окупності проекту"</f>
        <v>Додаток 1 Розрахунок дисконтованого терміну окупності проекту</v>
      </c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3"/>
    </row>
    <row r="3" spans="3:59" ht="15" customHeight="1" thickBot="1" x14ac:dyDescent="0.25">
      <c r="C3" s="254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6"/>
    </row>
    <row r="4" spans="3:59" ht="15" customHeight="1" thickBot="1" x14ac:dyDescent="0.25"/>
    <row r="5" spans="3:59" ht="15" customHeight="1" x14ac:dyDescent="0.2">
      <c r="F5" s="257" t="s">
        <v>291</v>
      </c>
      <c r="G5" s="258"/>
      <c r="H5" s="258"/>
      <c r="I5" s="258"/>
      <c r="J5" s="259"/>
      <c r="K5" s="260">
        <v>50</v>
      </c>
      <c r="L5" s="261"/>
      <c r="N5" s="257" t="s">
        <v>290</v>
      </c>
      <c r="O5" s="258"/>
      <c r="P5" s="258"/>
      <c r="Q5" s="258"/>
      <c r="R5" s="259"/>
      <c r="S5" s="262">
        <f>'Калькулятор ОСББ'!B18</f>
        <v>10</v>
      </c>
      <c r="T5" s="263"/>
    </row>
    <row r="6" spans="3:59" ht="15" customHeight="1" thickBot="1" x14ac:dyDescent="0.25">
      <c r="F6" s="264" t="s">
        <v>289</v>
      </c>
      <c r="G6" s="265"/>
      <c r="H6" s="265"/>
      <c r="I6" s="265"/>
      <c r="J6" s="265"/>
      <c r="K6" s="266">
        <v>0.25</v>
      </c>
      <c r="L6" s="267"/>
      <c r="N6" s="268" t="s">
        <v>288</v>
      </c>
      <c r="O6" s="269"/>
      <c r="P6" s="269"/>
      <c r="Q6" s="269"/>
      <c r="R6" s="270"/>
      <c r="S6" s="271">
        <f>ОСББ!D32</f>
        <v>0.45600000000000002</v>
      </c>
      <c r="T6" s="272"/>
    </row>
    <row r="7" spans="3:59" ht="15" customHeight="1" thickBot="1" x14ac:dyDescent="0.25"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</row>
    <row r="8" spans="3:59" ht="15" customHeight="1" x14ac:dyDescent="0.2">
      <c r="C8" s="230" t="s">
        <v>287</v>
      </c>
      <c r="D8" s="231"/>
      <c r="E8" s="232"/>
      <c r="F8" s="129">
        <v>0</v>
      </c>
      <c r="G8" s="130">
        <v>0</v>
      </c>
      <c r="H8" s="130">
        <v>0</v>
      </c>
      <c r="I8" s="130">
        <v>0</v>
      </c>
      <c r="J8" s="130">
        <v>0</v>
      </c>
      <c r="K8" s="130">
        <v>0</v>
      </c>
      <c r="L8" s="130">
        <v>0</v>
      </c>
      <c r="M8" s="130">
        <v>0</v>
      </c>
      <c r="N8" s="130">
        <v>0</v>
      </c>
      <c r="O8" s="130">
        <v>0</v>
      </c>
      <c r="P8" s="130">
        <v>0</v>
      </c>
      <c r="Q8" s="130">
        <v>0</v>
      </c>
      <c r="R8" s="130">
        <f>Q8</f>
        <v>0</v>
      </c>
      <c r="S8" s="130">
        <v>0</v>
      </c>
      <c r="T8" s="130">
        <v>0</v>
      </c>
      <c r="U8" s="130">
        <v>0</v>
      </c>
      <c r="V8" s="130">
        <v>0</v>
      </c>
      <c r="W8" s="130">
        <v>0</v>
      </c>
      <c r="X8" s="130">
        <v>0</v>
      </c>
      <c r="Y8" s="130">
        <v>0</v>
      </c>
      <c r="Z8" s="131">
        <v>0</v>
      </c>
      <c r="AA8" s="132">
        <v>0</v>
      </c>
      <c r="AB8" s="132">
        <v>0</v>
      </c>
      <c r="AC8" s="132">
        <v>0</v>
      </c>
      <c r="AD8" s="132">
        <v>0</v>
      </c>
      <c r="AE8" s="132">
        <v>0</v>
      </c>
      <c r="AF8" s="132">
        <v>0</v>
      </c>
      <c r="AG8" s="132">
        <v>0</v>
      </c>
      <c r="AH8" s="132">
        <v>0</v>
      </c>
      <c r="AI8" s="132">
        <v>0</v>
      </c>
      <c r="AJ8" s="132">
        <v>0</v>
      </c>
      <c r="AK8" s="132">
        <v>0</v>
      </c>
      <c r="AL8" s="132">
        <v>0</v>
      </c>
      <c r="AM8" s="132">
        <v>0</v>
      </c>
      <c r="AN8" s="132">
        <v>0</v>
      </c>
      <c r="AO8" s="132">
        <v>0</v>
      </c>
      <c r="AP8" s="132">
        <v>0</v>
      </c>
      <c r="AQ8" s="132">
        <v>0</v>
      </c>
      <c r="AR8" s="132">
        <v>0</v>
      </c>
      <c r="AS8" s="132">
        <v>0</v>
      </c>
      <c r="AT8" s="132">
        <v>0</v>
      </c>
      <c r="AU8" s="132">
        <v>0</v>
      </c>
      <c r="AV8" s="132">
        <v>0</v>
      </c>
      <c r="AW8" s="132">
        <v>0</v>
      </c>
      <c r="AX8" s="132">
        <v>0</v>
      </c>
      <c r="AY8" s="132">
        <v>0</v>
      </c>
      <c r="AZ8" s="132">
        <v>0</v>
      </c>
      <c r="BA8" s="132">
        <v>0</v>
      </c>
      <c r="BB8" s="132">
        <v>0</v>
      </c>
      <c r="BC8" s="132">
        <v>0</v>
      </c>
      <c r="BD8" s="132">
        <v>0</v>
      </c>
      <c r="BE8" s="132">
        <v>0</v>
      </c>
      <c r="BF8" s="132">
        <v>0</v>
      </c>
      <c r="BG8" s="128"/>
    </row>
    <row r="9" spans="3:59" ht="15" customHeight="1" x14ac:dyDescent="0.2">
      <c r="C9" s="233" t="s">
        <v>286</v>
      </c>
      <c r="D9" s="234"/>
      <c r="E9" s="235"/>
      <c r="F9" s="133">
        <v>0.5</v>
      </c>
      <c r="G9" s="134">
        <v>0.5</v>
      </c>
      <c r="H9" s="134">
        <v>0.13</v>
      </c>
      <c r="I9" s="134">
        <v>0.12</v>
      </c>
      <c r="J9" s="134">
        <v>0.115</v>
      </c>
      <c r="K9" s="134">
        <v>0.11</v>
      </c>
      <c r="L9" s="134">
        <v>0.11</v>
      </c>
      <c r="M9" s="134">
        <v>0.11</v>
      </c>
      <c r="N9" s="134">
        <v>0.11</v>
      </c>
      <c r="O9" s="134">
        <v>0.11</v>
      </c>
      <c r="P9" s="134">
        <v>0.11</v>
      </c>
      <c r="Q9" s="134">
        <v>0.11</v>
      </c>
      <c r="R9" s="134">
        <v>0.11</v>
      </c>
      <c r="S9" s="134">
        <v>0.11</v>
      </c>
      <c r="T9" s="134">
        <v>0.11</v>
      </c>
      <c r="U9" s="134">
        <v>0.11</v>
      </c>
      <c r="V9" s="134">
        <v>0.11</v>
      </c>
      <c r="W9" s="134">
        <v>0.11</v>
      </c>
      <c r="X9" s="134">
        <v>0.11</v>
      </c>
      <c r="Y9" s="134">
        <v>0.11</v>
      </c>
      <c r="Z9" s="135">
        <v>0.11</v>
      </c>
      <c r="AA9" s="132">
        <v>0.11</v>
      </c>
      <c r="AB9" s="132">
        <v>0.11</v>
      </c>
      <c r="AC9" s="132">
        <v>0.11</v>
      </c>
      <c r="AD9" s="132">
        <v>0.11</v>
      </c>
      <c r="AE9" s="132">
        <v>0.11</v>
      </c>
      <c r="AF9" s="132">
        <v>0.11</v>
      </c>
      <c r="AG9" s="132">
        <v>0.11</v>
      </c>
      <c r="AH9" s="132">
        <v>0.11</v>
      </c>
      <c r="AI9" s="132">
        <v>0.11</v>
      </c>
      <c r="AJ9" s="132">
        <v>0.11</v>
      </c>
      <c r="AK9" s="132">
        <v>0.11</v>
      </c>
      <c r="AL9" s="132">
        <v>0.11</v>
      </c>
      <c r="AM9" s="132">
        <v>0.11</v>
      </c>
      <c r="AN9" s="132">
        <v>0.11</v>
      </c>
      <c r="AO9" s="132">
        <v>0.11</v>
      </c>
      <c r="AP9" s="132">
        <v>0.11</v>
      </c>
      <c r="AQ9" s="132">
        <v>0.11</v>
      </c>
      <c r="AR9" s="132">
        <v>0.11</v>
      </c>
      <c r="AS9" s="132">
        <v>0.11</v>
      </c>
      <c r="AT9" s="132">
        <v>0.11</v>
      </c>
      <c r="AU9" s="132">
        <v>0.11</v>
      </c>
      <c r="AV9" s="132">
        <v>0.11</v>
      </c>
      <c r="AW9" s="132">
        <v>0.11</v>
      </c>
      <c r="AX9" s="132">
        <v>0.11</v>
      </c>
      <c r="AY9" s="132">
        <v>0.11</v>
      </c>
      <c r="AZ9" s="132">
        <v>0.11</v>
      </c>
      <c r="BA9" s="132">
        <v>0.11</v>
      </c>
      <c r="BB9" s="132">
        <v>0.11</v>
      </c>
      <c r="BC9" s="132">
        <v>0.11</v>
      </c>
      <c r="BD9" s="132">
        <v>0.11</v>
      </c>
      <c r="BE9" s="132">
        <v>0.11</v>
      </c>
      <c r="BF9" s="132">
        <v>0.11</v>
      </c>
      <c r="BG9" s="128"/>
    </row>
    <row r="10" spans="3:59" ht="15" customHeight="1" x14ac:dyDescent="0.2">
      <c r="C10" s="236" t="s">
        <v>285</v>
      </c>
      <c r="D10" s="237"/>
      <c r="E10" s="238"/>
      <c r="F10" s="136">
        <v>1</v>
      </c>
      <c r="G10" s="137">
        <f t="shared" ref="G10:AL10" si="0">F10*(1+F9)</f>
        <v>1.5</v>
      </c>
      <c r="H10" s="137">
        <f t="shared" si="0"/>
        <v>2.25</v>
      </c>
      <c r="I10" s="137">
        <f t="shared" si="0"/>
        <v>2.5424999999999995</v>
      </c>
      <c r="J10" s="137">
        <f t="shared" si="0"/>
        <v>2.8475999999999999</v>
      </c>
      <c r="K10" s="137">
        <f t="shared" si="0"/>
        <v>3.175074</v>
      </c>
      <c r="L10" s="137">
        <f t="shared" si="0"/>
        <v>3.5243321400000003</v>
      </c>
      <c r="M10" s="137">
        <f t="shared" si="0"/>
        <v>3.9120086754000005</v>
      </c>
      <c r="N10" s="137">
        <f t="shared" si="0"/>
        <v>4.3423296296940013</v>
      </c>
      <c r="O10" s="137">
        <f t="shared" si="0"/>
        <v>4.8199858889603417</v>
      </c>
      <c r="P10" s="137">
        <f t="shared" si="0"/>
        <v>5.35018433674598</v>
      </c>
      <c r="Q10" s="137">
        <f t="shared" si="0"/>
        <v>5.9387046137880386</v>
      </c>
      <c r="R10" s="137">
        <f t="shared" si="0"/>
        <v>6.5919621213047233</v>
      </c>
      <c r="S10" s="137">
        <f t="shared" si="0"/>
        <v>7.3170779546482434</v>
      </c>
      <c r="T10" s="138">
        <f t="shared" si="0"/>
        <v>8.1219565296595508</v>
      </c>
      <c r="U10" s="137">
        <f t="shared" si="0"/>
        <v>9.0153717479221029</v>
      </c>
      <c r="V10" s="137">
        <f t="shared" si="0"/>
        <v>10.007062640193535</v>
      </c>
      <c r="W10" s="137">
        <f t="shared" si="0"/>
        <v>11.107839530614825</v>
      </c>
      <c r="X10" s="137">
        <f t="shared" si="0"/>
        <v>12.329701878982457</v>
      </c>
      <c r="Y10" s="137">
        <f t="shared" si="0"/>
        <v>13.685969085670529</v>
      </c>
      <c r="Z10" s="139">
        <f t="shared" si="0"/>
        <v>15.191425685094288</v>
      </c>
      <c r="AA10" s="140">
        <f t="shared" si="0"/>
        <v>16.862482510454662</v>
      </c>
      <c r="AB10" s="141">
        <f t="shared" si="0"/>
        <v>18.717355586604675</v>
      </c>
      <c r="AC10" s="140">
        <f t="shared" si="0"/>
        <v>20.77626470113119</v>
      </c>
      <c r="AD10" s="140">
        <f t="shared" si="0"/>
        <v>23.061653818255621</v>
      </c>
      <c r="AE10" s="140">
        <f t="shared" si="0"/>
        <v>25.598435738263742</v>
      </c>
      <c r="AF10" s="140">
        <f t="shared" si="0"/>
        <v>28.414263669472756</v>
      </c>
      <c r="AG10" s="140">
        <f t="shared" si="0"/>
        <v>31.539832673114763</v>
      </c>
      <c r="AH10" s="140">
        <f t="shared" si="0"/>
        <v>35.00921426715739</v>
      </c>
      <c r="AI10" s="140">
        <f t="shared" si="0"/>
        <v>38.860227836544709</v>
      </c>
      <c r="AJ10" s="141">
        <f t="shared" si="0"/>
        <v>43.134852898564631</v>
      </c>
      <c r="AK10" s="140">
        <f t="shared" si="0"/>
        <v>47.879686717406742</v>
      </c>
      <c r="AL10" s="140">
        <f t="shared" si="0"/>
        <v>53.146452256321489</v>
      </c>
      <c r="AM10" s="140">
        <f t="shared" ref="AM10:BF10" si="1">AL10*(1+AL9)</f>
        <v>58.992562004516856</v>
      </c>
      <c r="AN10" s="140">
        <f t="shared" si="1"/>
        <v>65.481743825013709</v>
      </c>
      <c r="AO10" s="140">
        <f t="shared" si="1"/>
        <v>72.68473564576523</v>
      </c>
      <c r="AP10" s="140">
        <f t="shared" si="1"/>
        <v>80.680056566799408</v>
      </c>
      <c r="AQ10" s="140">
        <f t="shared" si="1"/>
        <v>89.55486278914735</v>
      </c>
      <c r="AR10" s="141">
        <f t="shared" si="1"/>
        <v>99.40589769595357</v>
      </c>
      <c r="AS10" s="140">
        <f t="shared" si="1"/>
        <v>110.34054644250847</v>
      </c>
      <c r="AT10" s="140">
        <f t="shared" si="1"/>
        <v>122.47800655118441</v>
      </c>
      <c r="AU10" s="140">
        <f t="shared" si="1"/>
        <v>135.9505872718147</v>
      </c>
      <c r="AV10" s="140">
        <f t="shared" si="1"/>
        <v>150.90515187171434</v>
      </c>
      <c r="AW10" s="140">
        <f t="shared" si="1"/>
        <v>167.50471857760294</v>
      </c>
      <c r="AX10" s="140">
        <f t="shared" si="1"/>
        <v>185.93023762113927</v>
      </c>
      <c r="AY10" s="140">
        <f t="shared" si="1"/>
        <v>206.3825637594646</v>
      </c>
      <c r="AZ10" s="141">
        <f t="shared" si="1"/>
        <v>229.08464577300572</v>
      </c>
      <c r="BA10" s="140">
        <f t="shared" si="1"/>
        <v>254.28395680803638</v>
      </c>
      <c r="BB10" s="140">
        <f t="shared" si="1"/>
        <v>282.25519205692041</v>
      </c>
      <c r="BC10" s="140">
        <f t="shared" si="1"/>
        <v>313.30326318318168</v>
      </c>
      <c r="BD10" s="140">
        <f t="shared" si="1"/>
        <v>347.76662213333168</v>
      </c>
      <c r="BE10" s="140">
        <f t="shared" si="1"/>
        <v>386.02095056799817</v>
      </c>
      <c r="BF10" s="140">
        <f t="shared" si="1"/>
        <v>428.48325513047803</v>
      </c>
      <c r="BG10" s="128"/>
    </row>
    <row r="11" spans="3:59" ht="15" customHeight="1" x14ac:dyDescent="0.2">
      <c r="C11" s="233" t="s">
        <v>284</v>
      </c>
      <c r="D11" s="234"/>
      <c r="E11" s="235"/>
      <c r="F11" s="142">
        <v>0.5</v>
      </c>
      <c r="G11" s="143">
        <v>0.5</v>
      </c>
      <c r="H11" s="143">
        <v>8.5000000000000006E-2</v>
      </c>
      <c r="I11" s="143">
        <v>8.5000000000000006E-2</v>
      </c>
      <c r="J11" s="143">
        <v>4.4999999999999998E-2</v>
      </c>
      <c r="K11" s="143">
        <v>4.4999999999999998E-2</v>
      </c>
      <c r="L11" s="143">
        <v>4.4999999999999998E-2</v>
      </c>
      <c r="M11" s="143">
        <v>4.4999999999999998E-2</v>
      </c>
      <c r="N11" s="143">
        <v>4.4999999999999998E-2</v>
      </c>
      <c r="O11" s="143">
        <v>4.4999999999999998E-2</v>
      </c>
      <c r="P11" s="143">
        <v>4.4999999999999998E-2</v>
      </c>
      <c r="Q11" s="143">
        <v>4.4999999999999998E-2</v>
      </c>
      <c r="R11" s="143">
        <v>4.4999999999999998E-2</v>
      </c>
      <c r="S11" s="143">
        <v>4.4999999999999998E-2</v>
      </c>
      <c r="T11" s="143">
        <v>4.4999999999999998E-2</v>
      </c>
      <c r="U11" s="143">
        <v>4.4999999999999998E-2</v>
      </c>
      <c r="V11" s="143">
        <v>4.4999999999999998E-2</v>
      </c>
      <c r="W11" s="143">
        <v>4.4999999999999998E-2</v>
      </c>
      <c r="X11" s="143">
        <v>4.4999999999999998E-2</v>
      </c>
      <c r="Y11" s="143">
        <v>4.4999999999999998E-2</v>
      </c>
      <c r="Z11" s="144">
        <v>4.4999999999999998E-2</v>
      </c>
      <c r="AA11" s="145">
        <v>4.4999999999999998E-2</v>
      </c>
      <c r="AB11" s="145">
        <v>4.4999999999999998E-2</v>
      </c>
      <c r="AC11" s="145">
        <v>4.4999999999999998E-2</v>
      </c>
      <c r="AD11" s="145">
        <v>4.4999999999999998E-2</v>
      </c>
      <c r="AE11" s="145">
        <v>4.4999999999999998E-2</v>
      </c>
      <c r="AF11" s="145">
        <v>4.4999999999999998E-2</v>
      </c>
      <c r="AG11" s="145">
        <v>4.4999999999999998E-2</v>
      </c>
      <c r="AH11" s="145">
        <v>4.4999999999999998E-2</v>
      </c>
      <c r="AI11" s="145">
        <v>4.4999999999999998E-2</v>
      </c>
      <c r="AJ11" s="145">
        <v>4.4999999999999998E-2</v>
      </c>
      <c r="AK11" s="145">
        <v>4.4999999999999998E-2</v>
      </c>
      <c r="AL11" s="145">
        <v>4.4999999999999998E-2</v>
      </c>
      <c r="AM11" s="145">
        <v>4.4999999999999998E-2</v>
      </c>
      <c r="AN11" s="145">
        <v>4.4999999999999998E-2</v>
      </c>
      <c r="AO11" s="145">
        <v>4.4999999999999998E-2</v>
      </c>
      <c r="AP11" s="145">
        <v>4.4999999999999998E-2</v>
      </c>
      <c r="AQ11" s="145">
        <v>4.4999999999999998E-2</v>
      </c>
      <c r="AR11" s="145">
        <v>4.4999999999999998E-2</v>
      </c>
      <c r="AS11" s="145">
        <v>4.4999999999999998E-2</v>
      </c>
      <c r="AT11" s="145">
        <v>4.4999999999999998E-2</v>
      </c>
      <c r="AU11" s="145">
        <v>4.4999999999999998E-2</v>
      </c>
      <c r="AV11" s="145">
        <v>4.4999999999999998E-2</v>
      </c>
      <c r="AW11" s="145">
        <v>4.4999999999999998E-2</v>
      </c>
      <c r="AX11" s="145">
        <v>4.4999999999999998E-2</v>
      </c>
      <c r="AY11" s="145">
        <v>4.4999999999999998E-2</v>
      </c>
      <c r="AZ11" s="145">
        <v>4.4999999999999998E-2</v>
      </c>
      <c r="BA11" s="145">
        <v>4.4999999999999998E-2</v>
      </c>
      <c r="BB11" s="145">
        <v>4.4999999999999998E-2</v>
      </c>
      <c r="BC11" s="145">
        <v>4.4999999999999998E-2</v>
      </c>
      <c r="BD11" s="145">
        <v>4.4999999999999998E-2</v>
      </c>
      <c r="BE11" s="145">
        <v>4.4999999999999998E-2</v>
      </c>
      <c r="BF11" s="145">
        <v>4.4999999999999998E-2</v>
      </c>
      <c r="BG11" s="128"/>
    </row>
    <row r="12" spans="3:59" ht="15" customHeight="1" x14ac:dyDescent="0.2">
      <c r="C12" s="236" t="s">
        <v>283</v>
      </c>
      <c r="D12" s="237"/>
      <c r="E12" s="238"/>
      <c r="F12" s="146">
        <v>1</v>
      </c>
      <c r="G12" s="138">
        <f t="shared" ref="G12:AL12" si="2">F12*(1+F11)</f>
        <v>1.5</v>
      </c>
      <c r="H12" s="138">
        <f t="shared" si="2"/>
        <v>2.25</v>
      </c>
      <c r="I12" s="138">
        <f t="shared" si="2"/>
        <v>2.4412500000000001</v>
      </c>
      <c r="J12" s="138">
        <f t="shared" si="2"/>
        <v>2.6487562499999999</v>
      </c>
      <c r="K12" s="138">
        <f t="shared" si="2"/>
        <v>2.7679502812499996</v>
      </c>
      <c r="L12" s="138">
        <f t="shared" si="2"/>
        <v>2.8925080439062496</v>
      </c>
      <c r="M12" s="138">
        <f t="shared" si="2"/>
        <v>3.0226709058820305</v>
      </c>
      <c r="N12" s="138">
        <f t="shared" si="2"/>
        <v>3.1586910966467214</v>
      </c>
      <c r="O12" s="138">
        <f t="shared" si="2"/>
        <v>3.3008321959958238</v>
      </c>
      <c r="P12" s="138">
        <f t="shared" si="2"/>
        <v>3.4493696448156355</v>
      </c>
      <c r="Q12" s="138">
        <f t="shared" si="2"/>
        <v>3.6045912788323387</v>
      </c>
      <c r="R12" s="138">
        <f t="shared" si="2"/>
        <v>3.7667978863797935</v>
      </c>
      <c r="S12" s="138">
        <f t="shared" si="2"/>
        <v>3.9363037912668841</v>
      </c>
      <c r="T12" s="138">
        <f t="shared" si="2"/>
        <v>4.113437461873894</v>
      </c>
      <c r="U12" s="138">
        <f t="shared" si="2"/>
        <v>4.2985421476582193</v>
      </c>
      <c r="V12" s="138">
        <f t="shared" si="2"/>
        <v>4.4919765443028385</v>
      </c>
      <c r="W12" s="138">
        <f t="shared" si="2"/>
        <v>4.6941154887964656</v>
      </c>
      <c r="X12" s="138">
        <f t="shared" si="2"/>
        <v>4.9053506857923059</v>
      </c>
      <c r="Y12" s="138">
        <f t="shared" si="2"/>
        <v>5.1260914666529596</v>
      </c>
      <c r="Z12" s="147">
        <f t="shared" si="2"/>
        <v>5.3567655826523426</v>
      </c>
      <c r="AA12" s="141">
        <f t="shared" si="2"/>
        <v>5.5978200338716979</v>
      </c>
      <c r="AB12" s="141">
        <f t="shared" si="2"/>
        <v>5.849721935395924</v>
      </c>
      <c r="AC12" s="141">
        <f t="shared" si="2"/>
        <v>6.11295942248874</v>
      </c>
      <c r="AD12" s="141">
        <f t="shared" si="2"/>
        <v>6.3880425965007328</v>
      </c>
      <c r="AE12" s="141">
        <f t="shared" si="2"/>
        <v>6.6755045133432649</v>
      </c>
      <c r="AF12" s="141">
        <f t="shared" si="2"/>
        <v>6.9759022164437114</v>
      </c>
      <c r="AG12" s="141">
        <f t="shared" si="2"/>
        <v>7.2898178161836782</v>
      </c>
      <c r="AH12" s="141">
        <f t="shared" si="2"/>
        <v>7.6178596179119431</v>
      </c>
      <c r="AI12" s="141">
        <f t="shared" si="2"/>
        <v>7.9606633007179797</v>
      </c>
      <c r="AJ12" s="141">
        <f t="shared" si="2"/>
        <v>8.3188931492502878</v>
      </c>
      <c r="AK12" s="141">
        <f t="shared" si="2"/>
        <v>8.6932433409665499</v>
      </c>
      <c r="AL12" s="141">
        <f t="shared" si="2"/>
        <v>9.0844392913100442</v>
      </c>
      <c r="AM12" s="141">
        <f t="shared" ref="AM12:BF12" si="3">AL12*(1+AL11)</f>
        <v>9.493239059418995</v>
      </c>
      <c r="AN12" s="141">
        <f t="shared" si="3"/>
        <v>9.9204348170928487</v>
      </c>
      <c r="AO12" s="141">
        <f t="shared" si="3"/>
        <v>10.366854383862027</v>
      </c>
      <c r="AP12" s="141">
        <f t="shared" si="3"/>
        <v>10.833362831135817</v>
      </c>
      <c r="AQ12" s="141">
        <f t="shared" si="3"/>
        <v>11.320864158536928</v>
      </c>
      <c r="AR12" s="141">
        <f t="shared" si="3"/>
        <v>11.830303045671089</v>
      </c>
      <c r="AS12" s="141">
        <f t="shared" si="3"/>
        <v>12.362666682726287</v>
      </c>
      <c r="AT12" s="141">
        <f t="shared" si="3"/>
        <v>12.918986683448969</v>
      </c>
      <c r="AU12" s="141">
        <f t="shared" si="3"/>
        <v>13.500341084204171</v>
      </c>
      <c r="AV12" s="141">
        <f t="shared" si="3"/>
        <v>14.107856432993358</v>
      </c>
      <c r="AW12" s="141">
        <f t="shared" si="3"/>
        <v>14.742709972478059</v>
      </c>
      <c r="AX12" s="141">
        <f t="shared" si="3"/>
        <v>15.40613192123957</v>
      </c>
      <c r="AY12" s="141">
        <f t="shared" si="3"/>
        <v>16.099407857695351</v>
      </c>
      <c r="AZ12" s="141">
        <f t="shared" si="3"/>
        <v>16.823881211291638</v>
      </c>
      <c r="BA12" s="141">
        <f t="shared" si="3"/>
        <v>17.580955865799762</v>
      </c>
      <c r="BB12" s="141">
        <f t="shared" si="3"/>
        <v>18.372098879760749</v>
      </c>
      <c r="BC12" s="141">
        <f t="shared" si="3"/>
        <v>19.19884332934998</v>
      </c>
      <c r="BD12" s="141">
        <f t="shared" si="3"/>
        <v>20.062791279170728</v>
      </c>
      <c r="BE12" s="141">
        <f t="shared" si="3"/>
        <v>20.965616886733411</v>
      </c>
      <c r="BF12" s="141">
        <f t="shared" si="3"/>
        <v>21.909069646636414</v>
      </c>
      <c r="BG12" s="128"/>
    </row>
    <row r="13" spans="3:59" ht="15" customHeight="1" thickBot="1" x14ac:dyDescent="0.25">
      <c r="C13" s="239" t="s">
        <v>282</v>
      </c>
      <c r="D13" s="240"/>
      <c r="E13" s="241"/>
      <c r="F13" s="148">
        <f>1</f>
        <v>1</v>
      </c>
      <c r="G13" s="149">
        <f>1/(1+K6)^G16</f>
        <v>0.8</v>
      </c>
      <c r="H13" s="149">
        <f>1/(1+K6)^H16</f>
        <v>0.64</v>
      </c>
      <c r="I13" s="149">
        <f>1/(1+K6)^I16</f>
        <v>0.51200000000000001</v>
      </c>
      <c r="J13" s="149">
        <f>1/(1+K6)^J16</f>
        <v>0.40960000000000002</v>
      </c>
      <c r="K13" s="149">
        <f>1/(1+K6)^K16</f>
        <v>0.32768000000000003</v>
      </c>
      <c r="L13" s="149">
        <f>1/(1+K6)^L16</f>
        <v>0.26214399999999999</v>
      </c>
      <c r="M13" s="149">
        <f>1/(1+K6)^M16</f>
        <v>0.20971519999999999</v>
      </c>
      <c r="N13" s="149">
        <f>1/(1+K6)^N16</f>
        <v>0.16777216</v>
      </c>
      <c r="O13" s="149">
        <f>1/(1+K6)^O16</f>
        <v>0.13421772800000001</v>
      </c>
      <c r="P13" s="149">
        <f>1/(1+K6)^P16</f>
        <v>0.1073741824</v>
      </c>
      <c r="Q13" s="149">
        <f>1/(1+K6)^Q16</f>
        <v>8.5899345919999995E-2</v>
      </c>
      <c r="R13" s="149">
        <f>1/(1+K6)^R16</f>
        <v>6.8719476735999999E-2</v>
      </c>
      <c r="S13" s="149">
        <f>1/(1+K6)^S16</f>
        <v>5.4975581388800002E-2</v>
      </c>
      <c r="T13" s="149">
        <f>1/(1+K6)^T16</f>
        <v>4.398046511104E-2</v>
      </c>
      <c r="U13" s="149">
        <f>1/(1+K6)^U16</f>
        <v>3.5184372088832003E-2</v>
      </c>
      <c r="V13" s="149">
        <f>1/(1+K6)^V16</f>
        <v>2.8147497671065599E-2</v>
      </c>
      <c r="W13" s="149">
        <f>1/(1+K6)^W16</f>
        <v>2.2517998136852482E-2</v>
      </c>
      <c r="X13" s="149">
        <f>1/(1+K6)^X16</f>
        <v>1.8014398509481985E-2</v>
      </c>
      <c r="Y13" s="149">
        <f>1/(1+K6)^Y16</f>
        <v>1.4411518807585587E-2</v>
      </c>
      <c r="Z13" s="150">
        <f>1/(1+K6)^Z16</f>
        <v>1.1529215046068469E-2</v>
      </c>
      <c r="AA13" s="151">
        <f t="shared" ref="AA13:BF13" si="4">1/(1+$K$6)^Z16</f>
        <v>1.1529215046068469E-2</v>
      </c>
      <c r="AB13" s="151">
        <f t="shared" si="4"/>
        <v>9.223372036854775E-3</v>
      </c>
      <c r="AC13" s="151">
        <f t="shared" si="4"/>
        <v>7.378697629483821E-3</v>
      </c>
      <c r="AD13" s="151">
        <f t="shared" si="4"/>
        <v>5.9029581035870572E-3</v>
      </c>
      <c r="AE13" s="151">
        <f t="shared" si="4"/>
        <v>4.7223664828696457E-3</v>
      </c>
      <c r="AF13" s="151">
        <f t="shared" si="4"/>
        <v>3.7778931862957159E-3</v>
      </c>
      <c r="AG13" s="151">
        <f t="shared" si="4"/>
        <v>3.0223145490365726E-3</v>
      </c>
      <c r="AH13" s="151">
        <f t="shared" si="4"/>
        <v>2.4178516392292584E-3</v>
      </c>
      <c r="AI13" s="151">
        <f t="shared" si="4"/>
        <v>1.9342813113834068E-3</v>
      </c>
      <c r="AJ13" s="151">
        <f t="shared" si="4"/>
        <v>1.5474250491067255E-3</v>
      </c>
      <c r="AK13" s="151">
        <f t="shared" si="4"/>
        <v>1.2379400392853802E-3</v>
      </c>
      <c r="AL13" s="151">
        <f t="shared" si="4"/>
        <v>9.903520314283043E-4</v>
      </c>
      <c r="AM13" s="151">
        <f t="shared" si="4"/>
        <v>7.9228162514264331E-4</v>
      </c>
      <c r="AN13" s="151">
        <f t="shared" si="4"/>
        <v>6.3382530011411463E-4</v>
      </c>
      <c r="AO13" s="151">
        <f t="shared" si="4"/>
        <v>5.0706024009129172E-4</v>
      </c>
      <c r="AP13" s="151">
        <f t="shared" si="4"/>
        <v>4.0564819207303341E-4</v>
      </c>
      <c r="AQ13" s="151">
        <f t="shared" si="4"/>
        <v>3.2451855365842671E-4</v>
      </c>
      <c r="AR13" s="151">
        <f t="shared" si="4"/>
        <v>2.5961484292674134E-4</v>
      </c>
      <c r="AS13" s="151">
        <f t="shared" si="4"/>
        <v>2.076918743413931E-4</v>
      </c>
      <c r="AT13" s="151">
        <f t="shared" si="4"/>
        <v>1.6615349947311447E-4</v>
      </c>
      <c r="AU13" s="151">
        <f t="shared" si="4"/>
        <v>1.3292279957849158E-4</v>
      </c>
      <c r="AV13" s="151">
        <f t="shared" si="4"/>
        <v>1.0633823966279327E-4</v>
      </c>
      <c r="AW13" s="151">
        <f t="shared" si="4"/>
        <v>8.5070591730234606E-5</v>
      </c>
      <c r="AX13" s="151">
        <f t="shared" si="4"/>
        <v>6.8056473384187698E-5</v>
      </c>
      <c r="AY13" s="151">
        <f t="shared" si="4"/>
        <v>5.4445178707350152E-5</v>
      </c>
      <c r="AZ13" s="151">
        <f t="shared" si="4"/>
        <v>4.3556142965880123E-5</v>
      </c>
      <c r="BA13" s="151">
        <f t="shared" si="4"/>
        <v>3.4844914372704099E-5</v>
      </c>
      <c r="BB13" s="151">
        <f t="shared" si="4"/>
        <v>2.7875931498163278E-5</v>
      </c>
      <c r="BC13" s="151">
        <f t="shared" si="4"/>
        <v>2.2300745198530623E-5</v>
      </c>
      <c r="BD13" s="151">
        <f t="shared" si="4"/>
        <v>1.7840596158824497E-5</v>
      </c>
      <c r="BE13" s="151">
        <f t="shared" si="4"/>
        <v>1.4272476927059597E-5</v>
      </c>
      <c r="BF13" s="151">
        <f t="shared" si="4"/>
        <v>1.1417981541647679E-5</v>
      </c>
      <c r="BG13" s="128"/>
    </row>
    <row r="14" spans="3:59" ht="15" customHeight="1" thickBot="1" x14ac:dyDescent="0.25"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</row>
    <row r="15" spans="3:59" ht="15" customHeight="1" x14ac:dyDescent="0.2">
      <c r="C15" s="242" t="s">
        <v>281</v>
      </c>
      <c r="D15" s="243"/>
      <c r="E15" s="244"/>
      <c r="F15" s="152" t="s">
        <v>611</v>
      </c>
      <c r="G15" s="153">
        <f t="shared" ref="G15:AL15" si="5">F15+1</f>
        <v>2016</v>
      </c>
      <c r="H15" s="153">
        <f t="shared" si="5"/>
        <v>2017</v>
      </c>
      <c r="I15" s="153">
        <f t="shared" si="5"/>
        <v>2018</v>
      </c>
      <c r="J15" s="153">
        <f t="shared" si="5"/>
        <v>2019</v>
      </c>
      <c r="K15" s="153">
        <f t="shared" si="5"/>
        <v>2020</v>
      </c>
      <c r="L15" s="153">
        <f t="shared" si="5"/>
        <v>2021</v>
      </c>
      <c r="M15" s="153">
        <f t="shared" si="5"/>
        <v>2022</v>
      </c>
      <c r="N15" s="153">
        <f t="shared" si="5"/>
        <v>2023</v>
      </c>
      <c r="O15" s="153">
        <f t="shared" si="5"/>
        <v>2024</v>
      </c>
      <c r="P15" s="153">
        <f t="shared" si="5"/>
        <v>2025</v>
      </c>
      <c r="Q15" s="153">
        <f t="shared" si="5"/>
        <v>2026</v>
      </c>
      <c r="R15" s="153">
        <f t="shared" si="5"/>
        <v>2027</v>
      </c>
      <c r="S15" s="153">
        <f t="shared" si="5"/>
        <v>2028</v>
      </c>
      <c r="T15" s="153">
        <f t="shared" si="5"/>
        <v>2029</v>
      </c>
      <c r="U15" s="153">
        <f t="shared" si="5"/>
        <v>2030</v>
      </c>
      <c r="V15" s="153">
        <f t="shared" si="5"/>
        <v>2031</v>
      </c>
      <c r="W15" s="153">
        <f t="shared" si="5"/>
        <v>2032</v>
      </c>
      <c r="X15" s="153">
        <f t="shared" si="5"/>
        <v>2033</v>
      </c>
      <c r="Y15" s="153">
        <f t="shared" si="5"/>
        <v>2034</v>
      </c>
      <c r="Z15" s="154">
        <f t="shared" si="5"/>
        <v>2035</v>
      </c>
      <c r="AA15" s="155">
        <f t="shared" si="5"/>
        <v>2036</v>
      </c>
      <c r="AB15" s="155">
        <f t="shared" si="5"/>
        <v>2037</v>
      </c>
      <c r="AC15" s="155">
        <f t="shared" si="5"/>
        <v>2038</v>
      </c>
      <c r="AD15" s="155">
        <f t="shared" si="5"/>
        <v>2039</v>
      </c>
      <c r="AE15" s="155">
        <f t="shared" si="5"/>
        <v>2040</v>
      </c>
      <c r="AF15" s="155">
        <f t="shared" si="5"/>
        <v>2041</v>
      </c>
      <c r="AG15" s="155">
        <f t="shared" si="5"/>
        <v>2042</v>
      </c>
      <c r="AH15" s="155">
        <f t="shared" si="5"/>
        <v>2043</v>
      </c>
      <c r="AI15" s="155">
        <f t="shared" si="5"/>
        <v>2044</v>
      </c>
      <c r="AJ15" s="155">
        <f t="shared" si="5"/>
        <v>2045</v>
      </c>
      <c r="AK15" s="155">
        <f t="shared" si="5"/>
        <v>2046</v>
      </c>
      <c r="AL15" s="155">
        <f t="shared" si="5"/>
        <v>2047</v>
      </c>
      <c r="AM15" s="155">
        <f t="shared" ref="AM15:BF15" si="6">AL15+1</f>
        <v>2048</v>
      </c>
      <c r="AN15" s="155">
        <f t="shared" si="6"/>
        <v>2049</v>
      </c>
      <c r="AO15" s="155">
        <f t="shared" si="6"/>
        <v>2050</v>
      </c>
      <c r="AP15" s="155">
        <f t="shared" si="6"/>
        <v>2051</v>
      </c>
      <c r="AQ15" s="155">
        <f t="shared" si="6"/>
        <v>2052</v>
      </c>
      <c r="AR15" s="155">
        <f t="shared" si="6"/>
        <v>2053</v>
      </c>
      <c r="AS15" s="155">
        <f t="shared" si="6"/>
        <v>2054</v>
      </c>
      <c r="AT15" s="155">
        <f t="shared" si="6"/>
        <v>2055</v>
      </c>
      <c r="AU15" s="155">
        <f t="shared" si="6"/>
        <v>2056</v>
      </c>
      <c r="AV15" s="155">
        <f t="shared" si="6"/>
        <v>2057</v>
      </c>
      <c r="AW15" s="155">
        <f t="shared" si="6"/>
        <v>2058</v>
      </c>
      <c r="AX15" s="155">
        <f t="shared" si="6"/>
        <v>2059</v>
      </c>
      <c r="AY15" s="155">
        <f t="shared" si="6"/>
        <v>2060</v>
      </c>
      <c r="AZ15" s="155">
        <f t="shared" si="6"/>
        <v>2061</v>
      </c>
      <c r="BA15" s="155">
        <f t="shared" si="6"/>
        <v>2062</v>
      </c>
      <c r="BB15" s="155">
        <f t="shared" si="6"/>
        <v>2063</v>
      </c>
      <c r="BC15" s="155">
        <f t="shared" si="6"/>
        <v>2064</v>
      </c>
      <c r="BD15" s="155">
        <f t="shared" si="6"/>
        <v>2065</v>
      </c>
      <c r="BE15" s="155">
        <f t="shared" si="6"/>
        <v>2066</v>
      </c>
      <c r="BF15" s="155">
        <f t="shared" si="6"/>
        <v>2067</v>
      </c>
      <c r="BG15" s="128"/>
    </row>
    <row r="16" spans="3:59" ht="15" customHeight="1" thickBot="1" x14ac:dyDescent="0.25">
      <c r="C16" s="245" t="s">
        <v>280</v>
      </c>
      <c r="D16" s="246"/>
      <c r="E16" s="247"/>
      <c r="F16" s="156">
        <v>0</v>
      </c>
      <c r="G16" s="157">
        <f t="shared" ref="G16:AL16" si="7">F16+1</f>
        <v>1</v>
      </c>
      <c r="H16" s="157">
        <f t="shared" si="7"/>
        <v>2</v>
      </c>
      <c r="I16" s="157">
        <f t="shared" si="7"/>
        <v>3</v>
      </c>
      <c r="J16" s="157">
        <f t="shared" si="7"/>
        <v>4</v>
      </c>
      <c r="K16" s="157">
        <f t="shared" si="7"/>
        <v>5</v>
      </c>
      <c r="L16" s="157">
        <f t="shared" si="7"/>
        <v>6</v>
      </c>
      <c r="M16" s="157">
        <f t="shared" si="7"/>
        <v>7</v>
      </c>
      <c r="N16" s="157">
        <f t="shared" si="7"/>
        <v>8</v>
      </c>
      <c r="O16" s="157">
        <f t="shared" si="7"/>
        <v>9</v>
      </c>
      <c r="P16" s="157">
        <f t="shared" si="7"/>
        <v>10</v>
      </c>
      <c r="Q16" s="157">
        <f t="shared" si="7"/>
        <v>11</v>
      </c>
      <c r="R16" s="157">
        <f t="shared" si="7"/>
        <v>12</v>
      </c>
      <c r="S16" s="157">
        <f t="shared" si="7"/>
        <v>13</v>
      </c>
      <c r="T16" s="157">
        <f t="shared" si="7"/>
        <v>14</v>
      </c>
      <c r="U16" s="157">
        <f t="shared" si="7"/>
        <v>15</v>
      </c>
      <c r="V16" s="157">
        <f t="shared" si="7"/>
        <v>16</v>
      </c>
      <c r="W16" s="157">
        <f t="shared" si="7"/>
        <v>17</v>
      </c>
      <c r="X16" s="157">
        <f t="shared" si="7"/>
        <v>18</v>
      </c>
      <c r="Y16" s="157">
        <f t="shared" si="7"/>
        <v>19</v>
      </c>
      <c r="Z16" s="158">
        <f t="shared" si="7"/>
        <v>20</v>
      </c>
      <c r="AA16" s="155">
        <f t="shared" si="7"/>
        <v>21</v>
      </c>
      <c r="AB16" s="155">
        <f t="shared" si="7"/>
        <v>22</v>
      </c>
      <c r="AC16" s="155">
        <f t="shared" si="7"/>
        <v>23</v>
      </c>
      <c r="AD16" s="155">
        <f t="shared" si="7"/>
        <v>24</v>
      </c>
      <c r="AE16" s="155">
        <f t="shared" si="7"/>
        <v>25</v>
      </c>
      <c r="AF16" s="155">
        <f t="shared" si="7"/>
        <v>26</v>
      </c>
      <c r="AG16" s="155">
        <f t="shared" si="7"/>
        <v>27</v>
      </c>
      <c r="AH16" s="155">
        <f t="shared" si="7"/>
        <v>28</v>
      </c>
      <c r="AI16" s="155">
        <f t="shared" si="7"/>
        <v>29</v>
      </c>
      <c r="AJ16" s="155">
        <f t="shared" si="7"/>
        <v>30</v>
      </c>
      <c r="AK16" s="155">
        <f t="shared" si="7"/>
        <v>31</v>
      </c>
      <c r="AL16" s="155">
        <f t="shared" si="7"/>
        <v>32</v>
      </c>
      <c r="AM16" s="155">
        <f t="shared" ref="AM16:BF16" si="8">AL16+1</f>
        <v>33</v>
      </c>
      <c r="AN16" s="155">
        <f t="shared" si="8"/>
        <v>34</v>
      </c>
      <c r="AO16" s="155">
        <f t="shared" si="8"/>
        <v>35</v>
      </c>
      <c r="AP16" s="155">
        <f t="shared" si="8"/>
        <v>36</v>
      </c>
      <c r="AQ16" s="155">
        <f t="shared" si="8"/>
        <v>37</v>
      </c>
      <c r="AR16" s="155">
        <f t="shared" si="8"/>
        <v>38</v>
      </c>
      <c r="AS16" s="155">
        <f t="shared" si="8"/>
        <v>39</v>
      </c>
      <c r="AT16" s="155">
        <f t="shared" si="8"/>
        <v>40</v>
      </c>
      <c r="AU16" s="155">
        <f t="shared" si="8"/>
        <v>41</v>
      </c>
      <c r="AV16" s="155">
        <f t="shared" si="8"/>
        <v>42</v>
      </c>
      <c r="AW16" s="155">
        <f t="shared" si="8"/>
        <v>43</v>
      </c>
      <c r="AX16" s="155">
        <f t="shared" si="8"/>
        <v>44</v>
      </c>
      <c r="AY16" s="155">
        <f t="shared" si="8"/>
        <v>45</v>
      </c>
      <c r="AZ16" s="155">
        <f t="shared" si="8"/>
        <v>46</v>
      </c>
      <c r="BA16" s="155">
        <f t="shared" si="8"/>
        <v>47</v>
      </c>
      <c r="BB16" s="155">
        <f t="shared" si="8"/>
        <v>48</v>
      </c>
      <c r="BC16" s="155">
        <f t="shared" si="8"/>
        <v>49</v>
      </c>
      <c r="BD16" s="155">
        <f t="shared" si="8"/>
        <v>50</v>
      </c>
      <c r="BE16" s="155">
        <f t="shared" si="8"/>
        <v>51</v>
      </c>
      <c r="BF16" s="155">
        <f t="shared" si="8"/>
        <v>52</v>
      </c>
      <c r="BG16" s="128"/>
    </row>
    <row r="17" spans="3:59" ht="15" customHeight="1" x14ac:dyDescent="0.25">
      <c r="C17" s="248" t="s">
        <v>279</v>
      </c>
      <c r="D17" s="249"/>
      <c r="E17" s="250"/>
      <c r="F17" s="159">
        <f>-('Калькулятор ОСББ'!B53*'Калькулятор ОСББ'!B49)/1000</f>
        <v>-2491.7210970440528</v>
      </c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1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28"/>
    </row>
    <row r="18" spans="3:59" ht="15" customHeight="1" x14ac:dyDescent="0.25">
      <c r="C18" s="224" t="s">
        <v>278</v>
      </c>
      <c r="D18" s="225"/>
      <c r="E18" s="226"/>
      <c r="F18" s="163" t="s">
        <v>129</v>
      </c>
      <c r="G18" s="164">
        <f t="shared" ref="G18:AL18" si="9">SUM(G19:G23)</f>
        <v>195.95137827200003</v>
      </c>
      <c r="H18" s="164">
        <f t="shared" si="9"/>
        <v>293.92706740800008</v>
      </c>
      <c r="I18" s="164">
        <f t="shared" si="9"/>
        <v>440.89060111200007</v>
      </c>
      <c r="J18" s="164">
        <f t="shared" si="9"/>
        <v>496.90120820651998</v>
      </c>
      <c r="K18" s="164">
        <f t="shared" si="9"/>
        <v>555.42793384407435</v>
      </c>
      <c r="L18" s="164">
        <f t="shared" si="9"/>
        <v>616.91206625265761</v>
      </c>
      <c r="M18" s="164">
        <f t="shared" si="9"/>
        <v>682.45316235647533</v>
      </c>
      <c r="N18" s="164">
        <f t="shared" si="9"/>
        <v>755.09941362843392</v>
      </c>
      <c r="O18" s="164">
        <f t="shared" si="9"/>
        <v>835.62769069388173</v>
      </c>
      <c r="P18" s="164">
        <f t="shared" si="9"/>
        <v>924.90010860701318</v>
      </c>
      <c r="Q18" s="164">
        <f t="shared" si="9"/>
        <v>1023.8733942277454</v>
      </c>
      <c r="R18" s="164">
        <f t="shared" si="9"/>
        <v>1133.6092835820864</v>
      </c>
      <c r="S18" s="164">
        <f t="shared" si="9"/>
        <v>1255.2860624849227</v>
      </c>
      <c r="T18" s="164">
        <f t="shared" si="9"/>
        <v>1390.2113761639675</v>
      </c>
      <c r="U18" s="164">
        <f t="shared" si="9"/>
        <v>1539.8364474539637</v>
      </c>
      <c r="V18" s="164">
        <f t="shared" si="9"/>
        <v>1705.7718584818981</v>
      </c>
      <c r="W18" s="164">
        <f t="shared" si="9"/>
        <v>1889.8050678042648</v>
      </c>
      <c r="X18" s="164">
        <f t="shared" si="9"/>
        <v>2093.919853872113</v>
      </c>
      <c r="Y18" s="164">
        <f t="shared" si="9"/>
        <v>2320.3178966948467</v>
      </c>
      <c r="Z18" s="165">
        <f t="shared" si="9"/>
        <v>2571.4427328784368</v>
      </c>
      <c r="AA18" s="166">
        <f t="shared" si="9"/>
        <v>2850.0063450818443</v>
      </c>
      <c r="AB18" s="166">
        <f t="shared" si="9"/>
        <v>3159.018675649032</v>
      </c>
      <c r="AC18" s="166">
        <f t="shared" si="9"/>
        <v>3501.820386045978</v>
      </c>
      <c r="AD18" s="166">
        <f t="shared" si="9"/>
        <v>3882.1192191099881</v>
      </c>
      <c r="AE18" s="166">
        <f t="shared" si="9"/>
        <v>4304.030360387992</v>
      </c>
      <c r="AF18" s="166">
        <f t="shared" si="9"/>
        <v>4772.1212384294922</v>
      </c>
      <c r="AG18" s="166">
        <f t="shared" si="9"/>
        <v>5291.461252283505</v>
      </c>
      <c r="AH18" s="166">
        <f t="shared" si="9"/>
        <v>5867.6769681546639</v>
      </c>
      <c r="AI18" s="166">
        <f t="shared" si="9"/>
        <v>6507.0133867870491</v>
      </c>
      <c r="AJ18" s="166">
        <f t="shared" si="9"/>
        <v>7216.4019493150881</v>
      </c>
      <c r="AK18" s="166">
        <f t="shared" si="9"/>
        <v>8003.5360227703768</v>
      </c>
      <c r="AL18" s="166">
        <f t="shared" si="9"/>
        <v>8876.9546879621248</v>
      </c>
      <c r="AM18" s="166">
        <f t="shared" ref="AM18:BF18" si="10">SUM(AM19:AM23)</f>
        <v>9846.1357429458822</v>
      </c>
      <c r="AN18" s="166">
        <f t="shared" si="10"/>
        <v>10921.59893574671</v>
      </c>
      <c r="AO18" s="166">
        <f t="shared" si="10"/>
        <v>12115.020551504082</v>
      </c>
      <c r="AP18" s="166">
        <f t="shared" si="10"/>
        <v>13439.360602971901</v>
      </c>
      <c r="AQ18" s="166">
        <f t="shared" si="10"/>
        <v>14909.004010687288</v>
      </c>
      <c r="AR18" s="166">
        <f t="shared" si="10"/>
        <v>16539.917311613848</v>
      </c>
      <c r="AS18" s="166">
        <f t="shared" si="10"/>
        <v>18349.822604331122</v>
      </c>
      <c r="AT18" s="166">
        <f t="shared" si="10"/>
        <v>20358.390626727087</v>
      </c>
      <c r="AU18" s="166">
        <f t="shared" si="10"/>
        <v>22587.455070702985</v>
      </c>
      <c r="AV18" s="166">
        <f t="shared" si="10"/>
        <v>25061.250469892853</v>
      </c>
      <c r="AW18" s="166">
        <f t="shared" si="10"/>
        <v>27806.676253357167</v>
      </c>
      <c r="AX18" s="166">
        <f t="shared" si="10"/>
        <v>30853.589843432484</v>
      </c>
      <c r="AY18" s="166">
        <f t="shared" si="10"/>
        <v>34235.131992515351</v>
      </c>
      <c r="AZ18" s="166">
        <f t="shared" si="10"/>
        <v>37988.087904981076</v>
      </c>
      <c r="BA18" s="166">
        <f t="shared" si="10"/>
        <v>42153.288080516031</v>
      </c>
      <c r="BB18" s="166">
        <f t="shared" si="10"/>
        <v>46776.053248129268</v>
      </c>
      <c r="BC18" s="166">
        <f t="shared" si="10"/>
        <v>51906.688240723983</v>
      </c>
      <c r="BD18" s="166">
        <f t="shared" si="10"/>
        <v>57601.030193592647</v>
      </c>
      <c r="BE18" s="166">
        <f t="shared" si="10"/>
        <v>63921.057042364366</v>
      </c>
      <c r="BF18" s="166">
        <f t="shared" si="10"/>
        <v>70935.562953237415</v>
      </c>
      <c r="BG18" s="128"/>
    </row>
    <row r="19" spans="3:59" ht="15" customHeight="1" x14ac:dyDescent="0.2">
      <c r="C19" s="227" t="s">
        <v>277</v>
      </c>
      <c r="D19" s="228"/>
      <c r="E19" s="229"/>
      <c r="F19" s="167" t="s">
        <v>129</v>
      </c>
      <c r="G19" s="168">
        <f>(ОСББ!J28)/1000</f>
        <v>183.06080000000003</v>
      </c>
      <c r="H19" s="168">
        <f>IF(SUM(G19)*G10=0,"-",SUM(G19)*G10)</f>
        <v>274.59120000000007</v>
      </c>
      <c r="I19" s="168">
        <f>IF(SUM(G19)*H10=0,"-",SUM(G19)*H10)</f>
        <v>411.88680000000005</v>
      </c>
      <c r="J19" s="168">
        <f>IF(SUM(G19)*I10=0,"-",SUM(G19)*I10)</f>
        <v>465.43208399999997</v>
      </c>
      <c r="K19" s="168">
        <f>IF(SUM(G19)*J10=0,"-",SUM(G19)*J10)</f>
        <v>521.28393408000011</v>
      </c>
      <c r="L19" s="168">
        <f>IF(SUM(G19)*K10=0,"-",SUM(G19)*K10)</f>
        <v>581.23158649920003</v>
      </c>
      <c r="M19" s="168">
        <f>IF(SUM(G19)*L10=0,"-",SUM(G19)*L10)</f>
        <v>645.16706101411216</v>
      </c>
      <c r="N19" s="168">
        <f>IF(SUM(G19)*M10=0,"-",SUM(G19)*M10)</f>
        <v>716.13543772566447</v>
      </c>
      <c r="O19" s="168">
        <f>IF(SUM(G19)*N10=0,"-",SUM(G19)*N10)</f>
        <v>794.9103358754877</v>
      </c>
      <c r="P19" s="168">
        <f>IF(SUM(G19)*O10=0,"-",SUM(G19)*O10)</f>
        <v>882.35047282179141</v>
      </c>
      <c r="Q19" s="168">
        <f>IF(SUM(G19)*P10=0,"-",SUM(G19)*P10)</f>
        <v>979.40902483218861</v>
      </c>
      <c r="R19" s="168">
        <f>IF(SUM(G19)*Q10=0,"-",SUM(G19)*Q10)</f>
        <v>1087.1440175637294</v>
      </c>
      <c r="S19" s="168">
        <f>IF(SUM(G19)*R10=0,"-",SUM(G19)*R10)</f>
        <v>1206.7298594957399</v>
      </c>
      <c r="T19" s="168">
        <f>IF(SUM(G19)*S10=0,"-",SUM(G19)*S10)</f>
        <v>1339.4701440402714</v>
      </c>
      <c r="U19" s="168">
        <f>IF(SUM(G19)*T10=0,"-",SUM(G19)*T10)</f>
        <v>1486.8118598847013</v>
      </c>
      <c r="V19" s="168">
        <f>IF(SUM(G19)*U10=0,"-",SUM(G19)*U10)</f>
        <v>1650.3611644720188</v>
      </c>
      <c r="W19" s="168">
        <f>IF(SUM(G19)*V10=0,"-",SUM(G19)*V10)</f>
        <v>1831.9008925639409</v>
      </c>
      <c r="X19" s="168">
        <f>IF(SUM(G19)*W10=0,"-",SUM(G19)*W10)</f>
        <v>2033.4099907459747</v>
      </c>
      <c r="Y19" s="168">
        <f>IF(SUM(G19)*X10=0,"-",SUM(G19)*X10)</f>
        <v>2257.085089728032</v>
      </c>
      <c r="Z19" s="169">
        <f>IF(SUM(G19)*Y10=0,"-",SUM(G19)*Y10)</f>
        <v>2505.3644495981157</v>
      </c>
      <c r="AA19" s="170">
        <f t="shared" ref="AA19:BF19" si="11">IF(SUM($G$19)*Z10=0,"-",SUM($G$19)*Z10)</f>
        <v>2780.9545390539088</v>
      </c>
      <c r="AB19" s="170">
        <f t="shared" si="11"/>
        <v>3086.8595383498391</v>
      </c>
      <c r="AC19" s="170">
        <f t="shared" si="11"/>
        <v>3426.4140875683215</v>
      </c>
      <c r="AD19" s="170">
        <f t="shared" si="11"/>
        <v>3803.319637200837</v>
      </c>
      <c r="AE19" s="170">
        <f t="shared" si="11"/>
        <v>4221.684797292929</v>
      </c>
      <c r="AF19" s="170">
        <f t="shared" si="11"/>
        <v>4686.0701249951517</v>
      </c>
      <c r="AG19" s="170">
        <f t="shared" si="11"/>
        <v>5201.537838744619</v>
      </c>
      <c r="AH19" s="170">
        <f t="shared" si="11"/>
        <v>5773.7070010065281</v>
      </c>
      <c r="AI19" s="170">
        <f t="shared" si="11"/>
        <v>6408.8147711172469</v>
      </c>
      <c r="AJ19" s="170">
        <f t="shared" si="11"/>
        <v>7113.7843959401453</v>
      </c>
      <c r="AK19" s="170">
        <f t="shared" si="11"/>
        <v>7896.3006794935618</v>
      </c>
      <c r="AL19" s="170">
        <f t="shared" si="11"/>
        <v>8764.8937542378535</v>
      </c>
      <c r="AM19" s="170">
        <f t="shared" si="11"/>
        <v>9729.0320672040179</v>
      </c>
      <c r="AN19" s="170">
        <f t="shared" si="11"/>
        <v>10799.225594596461</v>
      </c>
      <c r="AO19" s="170">
        <f t="shared" si="11"/>
        <v>11987.140410002072</v>
      </c>
      <c r="AP19" s="170">
        <f t="shared" si="11"/>
        <v>13305.725855102302</v>
      </c>
      <c r="AQ19" s="170">
        <f t="shared" si="11"/>
        <v>14769.355699163556</v>
      </c>
      <c r="AR19" s="170">
        <f t="shared" si="11"/>
        <v>16393.984826071548</v>
      </c>
      <c r="AS19" s="170">
        <f t="shared" si="11"/>
        <v>18197.323156939419</v>
      </c>
      <c r="AT19" s="170">
        <f t="shared" si="11"/>
        <v>20199.028704202756</v>
      </c>
      <c r="AU19" s="170">
        <f t="shared" si="11"/>
        <v>22420.921861665061</v>
      </c>
      <c r="AV19" s="170">
        <f t="shared" si="11"/>
        <v>24887.223266448222</v>
      </c>
      <c r="AW19" s="170">
        <f t="shared" si="11"/>
        <v>27624.817825757527</v>
      </c>
      <c r="AX19" s="170">
        <f t="shared" si="11"/>
        <v>30663.547786590862</v>
      </c>
      <c r="AY19" s="170">
        <f t="shared" si="11"/>
        <v>34036.538043115856</v>
      </c>
      <c r="AZ19" s="170">
        <f t="shared" si="11"/>
        <v>37780.557227858604</v>
      </c>
      <c r="BA19" s="170">
        <f t="shared" si="11"/>
        <v>41936.41852292305</v>
      </c>
      <c r="BB19" s="170">
        <f t="shared" si="11"/>
        <v>46549.424560444597</v>
      </c>
      <c r="BC19" s="170">
        <f t="shared" si="11"/>
        <v>51669.861262093502</v>
      </c>
      <c r="BD19" s="170">
        <f t="shared" si="11"/>
        <v>57353.546000923794</v>
      </c>
      <c r="BE19" s="170">
        <f t="shared" si="11"/>
        <v>63662.436061025415</v>
      </c>
      <c r="BF19" s="170">
        <f t="shared" si="11"/>
        <v>70665.30402773821</v>
      </c>
      <c r="BG19" s="128"/>
    </row>
    <row r="20" spans="3:59" ht="15" customHeight="1" x14ac:dyDescent="0.2">
      <c r="C20" s="227" t="s">
        <v>276</v>
      </c>
      <c r="D20" s="228"/>
      <c r="E20" s="229"/>
      <c r="F20" s="167" t="s">
        <v>129</v>
      </c>
      <c r="G20" s="168">
        <f>(ОСББ!J29+ОСББ!J30)/1000</f>
        <v>12.890578271999997</v>
      </c>
      <c r="H20" s="168">
        <f>IF(SUM(G20)*G12=0,"-",SUM(G20)*G12)</f>
        <v>19.335867407999995</v>
      </c>
      <c r="I20" s="168">
        <f>IF(SUM(G20)*H12=0,"-",SUM(G20)*H12)</f>
        <v>29.003801111999994</v>
      </c>
      <c r="J20" s="168">
        <f>IF(SUM(G20)*I12=0,"-",SUM(G20)*I12)</f>
        <v>31.469124206519997</v>
      </c>
      <c r="K20" s="168">
        <f>IF(SUM(G20)*J12=0,"-",SUM(G20)*J12)</f>
        <v>34.143999764074195</v>
      </c>
      <c r="L20" s="168">
        <f>IF(SUM(G20)*K12=0,"-",SUM(G20)*K12)</f>
        <v>35.680479753457526</v>
      </c>
      <c r="M20" s="168">
        <f>IF(SUM(G20)*L12=0,"-",SUM(G20)*L12)</f>
        <v>37.286101342363118</v>
      </c>
      <c r="N20" s="168">
        <f>IF(SUM(G20)*M12=0,"-",SUM(G20)*M12)</f>
        <v>38.963975902769448</v>
      </c>
      <c r="O20" s="168">
        <f>IF(SUM(G20)*N12=0,"-",SUM(G20)*N12)</f>
        <v>40.717354818394071</v>
      </c>
      <c r="P20" s="168">
        <f>IF(SUM(G20)*O12=0,"-",SUM(G20)*O12)</f>
        <v>42.549635785221803</v>
      </c>
      <c r="Q20" s="168">
        <f>IF(SUM(G20)*P12=0,"-",SUM(G20)*P12)</f>
        <v>44.46436939555678</v>
      </c>
      <c r="R20" s="168">
        <f>IF(SUM(G20)*Q12=0,"-",SUM(G20)*Q12)</f>
        <v>46.465266018356829</v>
      </c>
      <c r="S20" s="168">
        <f>IF(SUM(G20)*R12=0,"-",SUM(G20)*R12)</f>
        <v>48.556202989182879</v>
      </c>
      <c r="T20" s="168">
        <f>IF(SUM(G20)*S12=0,"-",SUM(G20)*S12)</f>
        <v>50.741232123696108</v>
      </c>
      <c r="U20" s="168">
        <f>IF(SUM(G20)*T12=0,"-",SUM(G20)*T12)</f>
        <v>53.024587569262437</v>
      </c>
      <c r="V20" s="168">
        <f>IF(SUM(G20)*U12=0,"-",SUM(G20)*U12)</f>
        <v>55.410694009879244</v>
      </c>
      <c r="W20" s="168">
        <f>IF(SUM(G20)*V12=0,"-",SUM(G20)*V12)</f>
        <v>57.904175240323802</v>
      </c>
      <c r="X20" s="168">
        <f>IF(SUM(G20)*W12=0,"-",SUM(G20)*W12)</f>
        <v>60.509863126138363</v>
      </c>
      <c r="Y20" s="168">
        <f>IF(SUM(G20)*X12=0,"-",SUM(G20)*X12)</f>
        <v>63.232806966814586</v>
      </c>
      <c r="Z20" s="169">
        <f>IF(SUM(G20)*Y12=0,"-",SUM(G20)*Y12)</f>
        <v>66.078283280321244</v>
      </c>
      <c r="AA20" s="170">
        <f t="shared" ref="AA20:BF20" si="12">IF(SUM($G$20)*Z12=0,"-",SUM($G$20)*Z12)</f>
        <v>69.051806027935697</v>
      </c>
      <c r="AB20" s="170">
        <f t="shared" si="12"/>
        <v>72.159137299192793</v>
      </c>
      <c r="AC20" s="170">
        <f t="shared" si="12"/>
        <v>75.406298477656463</v>
      </c>
      <c r="AD20" s="170">
        <f t="shared" si="12"/>
        <v>78.799581909151001</v>
      </c>
      <c r="AE20" s="170">
        <f t="shared" si="12"/>
        <v>82.345563095062786</v>
      </c>
      <c r="AF20" s="170">
        <f t="shared" si="12"/>
        <v>86.051113434340607</v>
      </c>
      <c r="AG20" s="170">
        <f t="shared" si="12"/>
        <v>89.923413538885924</v>
      </c>
      <c r="AH20" s="170">
        <f t="shared" si="12"/>
        <v>93.969967148135794</v>
      </c>
      <c r="AI20" s="170">
        <f t="shared" si="12"/>
        <v>98.198615669801896</v>
      </c>
      <c r="AJ20" s="170">
        <f t="shared" si="12"/>
        <v>102.61755337494297</v>
      </c>
      <c r="AK20" s="170">
        <f t="shared" si="12"/>
        <v>107.23534327681539</v>
      </c>
      <c r="AL20" s="170">
        <f t="shared" si="12"/>
        <v>112.06093372427208</v>
      </c>
      <c r="AM20" s="170">
        <f t="shared" si="12"/>
        <v>117.10367574186431</v>
      </c>
      <c r="AN20" s="170">
        <f t="shared" si="12"/>
        <v>122.37334115024819</v>
      </c>
      <c r="AO20" s="170">
        <f t="shared" si="12"/>
        <v>127.88014150200934</v>
      </c>
      <c r="AP20" s="170">
        <f t="shared" si="12"/>
        <v>133.63474786959975</v>
      </c>
      <c r="AQ20" s="170">
        <f t="shared" si="12"/>
        <v>139.64831152373173</v>
      </c>
      <c r="AR20" s="170">
        <f t="shared" si="12"/>
        <v>145.93248554229964</v>
      </c>
      <c r="AS20" s="170">
        <f t="shared" si="12"/>
        <v>152.49944739170314</v>
      </c>
      <c r="AT20" s="170">
        <f t="shared" si="12"/>
        <v>159.36192252432977</v>
      </c>
      <c r="AU20" s="170">
        <f t="shared" si="12"/>
        <v>166.53320903792459</v>
      </c>
      <c r="AV20" s="170">
        <f t="shared" si="12"/>
        <v>174.02720344463117</v>
      </c>
      <c r="AW20" s="170">
        <f t="shared" si="12"/>
        <v>181.85842759963958</v>
      </c>
      <c r="AX20" s="170">
        <f t="shared" si="12"/>
        <v>190.04205684162335</v>
      </c>
      <c r="AY20" s="170">
        <f t="shared" si="12"/>
        <v>198.59394939949638</v>
      </c>
      <c r="AZ20" s="170">
        <f t="shared" si="12"/>
        <v>207.53067712247372</v>
      </c>
      <c r="BA20" s="170">
        <f t="shared" si="12"/>
        <v>216.86955759298499</v>
      </c>
      <c r="BB20" s="170">
        <f t="shared" si="12"/>
        <v>226.6286876846693</v>
      </c>
      <c r="BC20" s="170">
        <f t="shared" si="12"/>
        <v>236.8269786304794</v>
      </c>
      <c r="BD20" s="170">
        <f t="shared" si="12"/>
        <v>247.48419266885094</v>
      </c>
      <c r="BE20" s="170">
        <f t="shared" si="12"/>
        <v>258.62098133894921</v>
      </c>
      <c r="BF20" s="170">
        <f t="shared" si="12"/>
        <v>270.25892549920195</v>
      </c>
      <c r="BG20" s="128"/>
    </row>
    <row r="21" spans="3:59" ht="15" customHeight="1" x14ac:dyDescent="0.2">
      <c r="C21" s="273" t="s">
        <v>275</v>
      </c>
      <c r="D21" s="274"/>
      <c r="E21" s="275"/>
      <c r="F21" s="276" t="s">
        <v>129</v>
      </c>
      <c r="G21" s="277">
        <v>0</v>
      </c>
      <c r="H21" s="277" t="str">
        <f>IF(SUM(G21)*G10=0,"-",SUM(G21)*G10)</f>
        <v>-</v>
      </c>
      <c r="I21" s="291" t="str">
        <f>IF(SUM(G21)*H10=0,"-",SUM(G21)*H10)</f>
        <v>-</v>
      </c>
      <c r="J21" s="291" t="str">
        <f>IF(SUM(G21)*I10=0,"-",SUM(G21)*I10)</f>
        <v>-</v>
      </c>
      <c r="K21" s="291" t="str">
        <f>IF(SUM(G21)*J10=0,"-",SUM(G21)*J10)</f>
        <v>-</v>
      </c>
      <c r="L21" s="291" t="str">
        <f>IF(SUM(G21)*K10=0,"-",SUM(G21)*K10)</f>
        <v>-</v>
      </c>
      <c r="M21" s="291" t="str">
        <f>IF(SUM(G21)*L10=0,"-",SUM(G21)*L10)</f>
        <v>-</v>
      </c>
      <c r="N21" s="291" t="str">
        <f>IF(SUM(G21)*M10=0,"-",SUM(G21)*M10)</f>
        <v>-</v>
      </c>
      <c r="O21" s="291" t="str">
        <f>IF(SUM(G21)*N10=0,"-",SUM(G21)*N10)</f>
        <v>-</v>
      </c>
      <c r="P21" s="291" t="str">
        <f>IF(SUM(G21)*O10=0,"-",SUM(G21)*O10)</f>
        <v>-</v>
      </c>
      <c r="Q21" s="291" t="str">
        <f>IF(SUM(G21)*P10=0,"-",SUM(G21)*P10)</f>
        <v>-</v>
      </c>
      <c r="R21" s="291" t="str">
        <f>IF(SUM(G21)*Q10=0,"-",SUM(G21)*Q10)</f>
        <v>-</v>
      </c>
      <c r="S21" s="291" t="str">
        <f>IF(SUM(G21)*R10=0,"-",SUM(G21)*R10)</f>
        <v>-</v>
      </c>
      <c r="T21" s="291" t="str">
        <f>IF(SUM(G21)*S10=0,"-",SUM(G21)*S10)</f>
        <v>-</v>
      </c>
      <c r="U21" s="291" t="str">
        <f>IF(SUM(G21)*T10=0,"-",SUM(G21)*T10)</f>
        <v>-</v>
      </c>
      <c r="V21" s="291" t="str">
        <f>IF(SUM(G21)*U10=0,"-",SUM(G21)*U10)</f>
        <v>-</v>
      </c>
      <c r="W21" s="291" t="str">
        <f>IF(SUM(G21)*V10=0,"-",SUM(G21)*V10)</f>
        <v>-</v>
      </c>
      <c r="X21" s="291" t="str">
        <f>IF(SUM(G21)*W10=0,"-",SUM(G21)*W10)</f>
        <v>-</v>
      </c>
      <c r="Y21" s="291" t="str">
        <f>IF(SUM(G21)*X10=0,"-",SUM(G21)*X10)</f>
        <v>-</v>
      </c>
      <c r="Z21" s="295" t="str">
        <f>IF(SUM(G21)*Y10=0,"-",SUM(G21)*Y10)</f>
        <v>-</v>
      </c>
      <c r="AA21" s="294" t="str">
        <f>IF(SUM(O21)*Z10=0,"-",SUM(O21)*Z10)</f>
        <v>-</v>
      </c>
      <c r="AB21" s="294" t="str">
        <f>IF(SUM(O21)*AA10=0,"-",SUM(O21)*AA10)</f>
        <v>-</v>
      </c>
      <c r="AC21" s="294" t="str">
        <f>IF(SUM(O21)*AB10=0,"-",SUM(O21)*AB10)</f>
        <v>-</v>
      </c>
      <c r="AD21" s="294" t="str">
        <f>IF(SUM(O21)*AC10=0,"-",SUM(O21)*AC10)</f>
        <v>-</v>
      </c>
      <c r="AE21" s="294" t="str">
        <f>IF(SUM(O21)*AD10=0,"-",SUM(O21)*AD10)</f>
        <v>-</v>
      </c>
      <c r="AF21" s="294" t="str">
        <f>IF(SUM(O21)*AE10=0,"-",SUM(O21)*AE10)</f>
        <v>-</v>
      </c>
      <c r="AG21" s="294" t="str">
        <f>IF(SUM(O21)*AF10=0,"-",SUM(O21)*AF10)</f>
        <v>-</v>
      </c>
      <c r="AH21" s="294" t="str">
        <f>IF(SUM(O21)*AG10=0,"-",SUM(O21)*AG10)</f>
        <v>-</v>
      </c>
      <c r="AI21" s="294" t="str">
        <f>IF(SUM(W21)*AH10=0,"-",SUM(W21)*AH10)</f>
        <v>-</v>
      </c>
      <c r="AJ21" s="294" t="str">
        <f>IF(SUM(W21)*AI10=0,"-",SUM(W21)*AI10)</f>
        <v>-</v>
      </c>
      <c r="AK21" s="294" t="str">
        <f>IF(SUM(W21)*AJ10=0,"-",SUM(W21)*AJ10)</f>
        <v>-</v>
      </c>
      <c r="AL21" s="294" t="str">
        <f>IF(SUM(W21)*AK10=0,"-",SUM(W21)*AK10)</f>
        <v>-</v>
      </c>
      <c r="AM21" s="294" t="str">
        <f>IF(SUM(W21)*AL10=0,"-",SUM(W21)*AL10)</f>
        <v>-</v>
      </c>
      <c r="AN21" s="294" t="str">
        <f>IF(SUM(W21)*AM10=0,"-",SUM(W21)*AM10)</f>
        <v>-</v>
      </c>
      <c r="AO21" s="294" t="str">
        <f>IF(SUM(W21)*AN10=0,"-",SUM(W21)*AN10)</f>
        <v>-</v>
      </c>
      <c r="AP21" s="294" t="str">
        <f>IF(SUM(W21)*AO10=0,"-",SUM(W21)*AO10)</f>
        <v>-</v>
      </c>
      <c r="AQ21" s="294" t="str">
        <f>IF(SUM(AE21)*AP10=0,"-",SUM(AE21)*AP10)</f>
        <v>-</v>
      </c>
      <c r="AR21" s="294" t="str">
        <f>IF(SUM(AE21)*AQ10=0,"-",SUM(AE21)*AQ10)</f>
        <v>-</v>
      </c>
      <c r="AS21" s="294" t="str">
        <f>IF(SUM(AE21)*AR10=0,"-",SUM(AE21)*AR10)</f>
        <v>-</v>
      </c>
      <c r="AT21" s="294" t="str">
        <f>IF(SUM(AE21)*AS10=0,"-",SUM(AE21)*AS10)</f>
        <v>-</v>
      </c>
      <c r="AU21" s="294" t="str">
        <f>IF(SUM(AE21)*AT10=0,"-",SUM(AE21)*AT10)</f>
        <v>-</v>
      </c>
      <c r="AV21" s="294" t="str">
        <f>IF(SUM(AE21)*AU10=0,"-",SUM(AE21)*AU10)</f>
        <v>-</v>
      </c>
      <c r="AW21" s="294" t="str">
        <f>IF(SUM(AE21)*AV10=0,"-",SUM(AE21)*AV10)</f>
        <v>-</v>
      </c>
      <c r="AX21" s="294" t="str">
        <f>IF(SUM(AE21)*AW10=0,"-",SUM(AE21)*AW10)</f>
        <v>-</v>
      </c>
      <c r="AY21" s="294" t="str">
        <f>IF(SUM(AM21)*AX10=0,"-",SUM(AM21)*AX10)</f>
        <v>-</v>
      </c>
      <c r="AZ21" s="294" t="str">
        <f>IF(SUM(AM21)*AY10=0,"-",SUM(AM21)*AY10)</f>
        <v>-</v>
      </c>
      <c r="BA21" s="294" t="str">
        <f>IF(SUM(AM21)*AZ10=0,"-",SUM(AM21)*AZ10)</f>
        <v>-</v>
      </c>
      <c r="BB21" s="294" t="str">
        <f>IF(SUM(AM21)*BA10=0,"-",SUM(AM21)*BA10)</f>
        <v>-</v>
      </c>
      <c r="BC21" s="294" t="str">
        <f>IF(SUM(AM21)*BB10=0,"-",SUM(AM21)*BB10)</f>
        <v>-</v>
      </c>
      <c r="BD21" s="294" t="str">
        <f>IF(SUM(AM21)*BC10=0,"-",SUM(AM21)*BC10)</f>
        <v>-</v>
      </c>
      <c r="BE21" s="294" t="str">
        <f>IF(SUM(AM21)*BD10=0,"-",SUM(AM21)*BD10)</f>
        <v>-</v>
      </c>
      <c r="BF21" s="294" t="str">
        <f>IF(SUM(AM21)*BE10=0,"-",SUM(AM21)*BE10)</f>
        <v>-</v>
      </c>
      <c r="BG21" s="128"/>
    </row>
    <row r="22" spans="3:59" ht="15" customHeight="1" x14ac:dyDescent="0.2">
      <c r="C22" s="273"/>
      <c r="D22" s="274"/>
      <c r="E22" s="275"/>
      <c r="F22" s="276"/>
      <c r="G22" s="277"/>
      <c r="H22" s="277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6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4"/>
      <c r="AY22" s="294"/>
      <c r="AZ22" s="294"/>
      <c r="BA22" s="294"/>
      <c r="BB22" s="294"/>
      <c r="BC22" s="294"/>
      <c r="BD22" s="294"/>
      <c r="BE22" s="294"/>
      <c r="BF22" s="294"/>
      <c r="BG22" s="128"/>
    </row>
    <row r="23" spans="3:59" ht="15" customHeight="1" x14ac:dyDescent="0.2">
      <c r="C23" s="273"/>
      <c r="D23" s="274"/>
      <c r="E23" s="275"/>
      <c r="F23" s="276"/>
      <c r="G23" s="277"/>
      <c r="H23" s="277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7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O23" s="294"/>
      <c r="AP23" s="294"/>
      <c r="AQ23" s="294"/>
      <c r="AR23" s="294"/>
      <c r="AS23" s="294"/>
      <c r="AT23" s="294"/>
      <c r="AU23" s="294"/>
      <c r="AV23" s="294"/>
      <c r="AW23" s="294"/>
      <c r="AX23" s="294"/>
      <c r="AY23" s="294"/>
      <c r="AZ23" s="294"/>
      <c r="BA23" s="294"/>
      <c r="BB23" s="294"/>
      <c r="BC23" s="294"/>
      <c r="BD23" s="294"/>
      <c r="BE23" s="294"/>
      <c r="BF23" s="294"/>
      <c r="BG23" s="128"/>
    </row>
    <row r="24" spans="3:59" ht="15" customHeight="1" x14ac:dyDescent="0.2">
      <c r="C24" s="278" t="s">
        <v>274</v>
      </c>
      <c r="D24" s="279"/>
      <c r="E24" s="280"/>
      <c r="F24" s="287" t="s">
        <v>129</v>
      </c>
      <c r="G24" s="288" t="s">
        <v>129</v>
      </c>
      <c r="H24" s="288" t="s">
        <v>129</v>
      </c>
      <c r="I24" s="288" t="s">
        <v>129</v>
      </c>
      <c r="J24" s="288" t="s">
        <v>129</v>
      </c>
      <c r="K24" s="288" t="s">
        <v>129</v>
      </c>
      <c r="L24" s="288" t="s">
        <v>129</v>
      </c>
      <c r="M24" s="288" t="s">
        <v>129</v>
      </c>
      <c r="N24" s="288" t="s">
        <v>129</v>
      </c>
      <c r="O24" s="288" t="s">
        <v>129</v>
      </c>
      <c r="P24" s="288" t="s">
        <v>129</v>
      </c>
      <c r="Q24" s="288" t="s">
        <v>129</v>
      </c>
      <c r="R24" s="288" t="s">
        <v>129</v>
      </c>
      <c r="S24" s="288" t="s">
        <v>129</v>
      </c>
      <c r="T24" s="288" t="s">
        <v>129</v>
      </c>
      <c r="U24" s="288" t="s">
        <v>129</v>
      </c>
      <c r="V24" s="288" t="s">
        <v>129</v>
      </c>
      <c r="W24" s="288" t="s">
        <v>129</v>
      </c>
      <c r="X24" s="288" t="s">
        <v>129</v>
      </c>
      <c r="Y24" s="288" t="s">
        <v>129</v>
      </c>
      <c r="Z24" s="304" t="s">
        <v>129</v>
      </c>
      <c r="AA24" s="298" t="s">
        <v>129</v>
      </c>
      <c r="AB24" s="298" t="s">
        <v>129</v>
      </c>
      <c r="AC24" s="298" t="s">
        <v>129</v>
      </c>
      <c r="AD24" s="298" t="s">
        <v>129</v>
      </c>
      <c r="AE24" s="298" t="s">
        <v>129</v>
      </c>
      <c r="AF24" s="298" t="s">
        <v>129</v>
      </c>
      <c r="AG24" s="298" t="s">
        <v>129</v>
      </c>
      <c r="AH24" s="298" t="s">
        <v>129</v>
      </c>
      <c r="AI24" s="298" t="s">
        <v>129</v>
      </c>
      <c r="AJ24" s="298" t="s">
        <v>129</v>
      </c>
      <c r="AK24" s="298" t="s">
        <v>129</v>
      </c>
      <c r="AL24" s="298" t="s">
        <v>129</v>
      </c>
      <c r="AM24" s="298" t="s">
        <v>129</v>
      </c>
      <c r="AN24" s="298" t="s">
        <v>129</v>
      </c>
      <c r="AO24" s="298" t="s">
        <v>129</v>
      </c>
      <c r="AP24" s="298" t="s">
        <v>129</v>
      </c>
      <c r="AQ24" s="298" t="s">
        <v>129</v>
      </c>
      <c r="AR24" s="298" t="s">
        <v>129</v>
      </c>
      <c r="AS24" s="298" t="s">
        <v>129</v>
      </c>
      <c r="AT24" s="298" t="s">
        <v>129</v>
      </c>
      <c r="AU24" s="298" t="s">
        <v>129</v>
      </c>
      <c r="AV24" s="298" t="s">
        <v>129</v>
      </c>
      <c r="AW24" s="298" t="s">
        <v>129</v>
      </c>
      <c r="AX24" s="298" t="s">
        <v>129</v>
      </c>
      <c r="AY24" s="298" t="s">
        <v>129</v>
      </c>
      <c r="AZ24" s="298" t="s">
        <v>129</v>
      </c>
      <c r="BA24" s="298" t="s">
        <v>129</v>
      </c>
      <c r="BB24" s="298" t="s">
        <v>129</v>
      </c>
      <c r="BC24" s="298" t="s">
        <v>129</v>
      </c>
      <c r="BD24" s="298" t="s">
        <v>129</v>
      </c>
      <c r="BE24" s="298" t="s">
        <v>129</v>
      </c>
      <c r="BF24" s="298" t="s">
        <v>129</v>
      </c>
      <c r="BG24" s="128"/>
    </row>
    <row r="25" spans="3:59" ht="15" customHeight="1" x14ac:dyDescent="0.2">
      <c r="C25" s="281"/>
      <c r="D25" s="282"/>
      <c r="E25" s="283"/>
      <c r="F25" s="287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89"/>
      <c r="Y25" s="289"/>
      <c r="Z25" s="305"/>
      <c r="AA25" s="298"/>
      <c r="AB25" s="298"/>
      <c r="AC25" s="298"/>
      <c r="AD25" s="298"/>
      <c r="AE25" s="298"/>
      <c r="AF25" s="298"/>
      <c r="AG25" s="298"/>
      <c r="AH25" s="298"/>
      <c r="AI25" s="298"/>
      <c r="AJ25" s="298"/>
      <c r="AK25" s="298"/>
      <c r="AL25" s="298"/>
      <c r="AM25" s="298"/>
      <c r="AN25" s="298"/>
      <c r="AO25" s="298"/>
      <c r="AP25" s="298"/>
      <c r="AQ25" s="298"/>
      <c r="AR25" s="298"/>
      <c r="AS25" s="298"/>
      <c r="AT25" s="298"/>
      <c r="AU25" s="298"/>
      <c r="AV25" s="298"/>
      <c r="AW25" s="298"/>
      <c r="AX25" s="298"/>
      <c r="AY25" s="298"/>
      <c r="AZ25" s="298"/>
      <c r="BA25" s="298"/>
      <c r="BB25" s="298"/>
      <c r="BC25" s="298"/>
      <c r="BD25" s="298"/>
      <c r="BE25" s="298"/>
      <c r="BF25" s="298"/>
      <c r="BG25" s="128"/>
    </row>
    <row r="26" spans="3:59" ht="15" customHeight="1" x14ac:dyDescent="0.2">
      <c r="C26" s="284"/>
      <c r="D26" s="285"/>
      <c r="E26" s="286"/>
      <c r="F26" s="287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306"/>
      <c r="AA26" s="298"/>
      <c r="AB26" s="298"/>
      <c r="AC26" s="298"/>
      <c r="AD26" s="298"/>
      <c r="AE26" s="298"/>
      <c r="AF26" s="298"/>
      <c r="AG26" s="298"/>
      <c r="AH26" s="298"/>
      <c r="AI26" s="298"/>
      <c r="AJ26" s="298"/>
      <c r="AK26" s="298"/>
      <c r="AL26" s="298"/>
      <c r="AM26" s="298"/>
      <c r="AN26" s="298"/>
      <c r="AO26" s="298"/>
      <c r="AP26" s="298"/>
      <c r="AQ26" s="298"/>
      <c r="AR26" s="298"/>
      <c r="AS26" s="298"/>
      <c r="AT26" s="298"/>
      <c r="AU26" s="298"/>
      <c r="AV26" s="298"/>
      <c r="AW26" s="298"/>
      <c r="AX26" s="298"/>
      <c r="AY26" s="298"/>
      <c r="AZ26" s="298"/>
      <c r="BA26" s="298"/>
      <c r="BB26" s="298"/>
      <c r="BC26" s="298"/>
      <c r="BD26" s="298"/>
      <c r="BE26" s="298"/>
      <c r="BF26" s="298"/>
      <c r="BG26" s="128"/>
    </row>
    <row r="27" spans="3:59" ht="15" customHeight="1" x14ac:dyDescent="0.2">
      <c r="C27" s="278" t="s">
        <v>273</v>
      </c>
      <c r="D27" s="279"/>
      <c r="E27" s="280"/>
      <c r="F27" s="299" t="s">
        <v>129</v>
      </c>
      <c r="G27" s="300">
        <f t="shared" ref="G27:AL27" si="13">SUM(G18)-SUM(G24)</f>
        <v>195.95137827200003</v>
      </c>
      <c r="H27" s="301">
        <f t="shared" si="13"/>
        <v>293.92706740800008</v>
      </c>
      <c r="I27" s="301">
        <f t="shared" si="13"/>
        <v>440.89060111200007</v>
      </c>
      <c r="J27" s="301">
        <f t="shared" si="13"/>
        <v>496.90120820651998</v>
      </c>
      <c r="K27" s="301">
        <f t="shared" si="13"/>
        <v>555.42793384407435</v>
      </c>
      <c r="L27" s="301">
        <f t="shared" si="13"/>
        <v>616.91206625265761</v>
      </c>
      <c r="M27" s="301">
        <f t="shared" si="13"/>
        <v>682.45316235647533</v>
      </c>
      <c r="N27" s="301">
        <f t="shared" si="13"/>
        <v>755.09941362843392</v>
      </c>
      <c r="O27" s="301">
        <f t="shared" si="13"/>
        <v>835.62769069388173</v>
      </c>
      <c r="P27" s="301">
        <f t="shared" si="13"/>
        <v>924.90010860701318</v>
      </c>
      <c r="Q27" s="301">
        <f t="shared" si="13"/>
        <v>1023.8733942277454</v>
      </c>
      <c r="R27" s="301">
        <f t="shared" si="13"/>
        <v>1133.6092835820864</v>
      </c>
      <c r="S27" s="301">
        <f t="shared" si="13"/>
        <v>1255.2860624849227</v>
      </c>
      <c r="T27" s="301">
        <f t="shared" si="13"/>
        <v>1390.2113761639675</v>
      </c>
      <c r="U27" s="301">
        <f t="shared" si="13"/>
        <v>1539.8364474539637</v>
      </c>
      <c r="V27" s="301">
        <f t="shared" si="13"/>
        <v>1705.7718584818981</v>
      </c>
      <c r="W27" s="301">
        <f t="shared" si="13"/>
        <v>1889.8050678042648</v>
      </c>
      <c r="X27" s="301">
        <f t="shared" si="13"/>
        <v>2093.919853872113</v>
      </c>
      <c r="Y27" s="301">
        <f t="shared" si="13"/>
        <v>2320.3178966948467</v>
      </c>
      <c r="Z27" s="308">
        <f t="shared" si="13"/>
        <v>2571.4427328784368</v>
      </c>
      <c r="AA27" s="307">
        <f t="shared" si="13"/>
        <v>2850.0063450818443</v>
      </c>
      <c r="AB27" s="307">
        <f t="shared" si="13"/>
        <v>3159.018675649032</v>
      </c>
      <c r="AC27" s="307">
        <f t="shared" si="13"/>
        <v>3501.820386045978</v>
      </c>
      <c r="AD27" s="307">
        <f t="shared" si="13"/>
        <v>3882.1192191099881</v>
      </c>
      <c r="AE27" s="307">
        <f t="shared" si="13"/>
        <v>4304.030360387992</v>
      </c>
      <c r="AF27" s="307">
        <f t="shared" si="13"/>
        <v>4772.1212384294922</v>
      </c>
      <c r="AG27" s="307">
        <f t="shared" si="13"/>
        <v>5291.461252283505</v>
      </c>
      <c r="AH27" s="307">
        <f t="shared" si="13"/>
        <v>5867.6769681546639</v>
      </c>
      <c r="AI27" s="307">
        <f t="shared" si="13"/>
        <v>6507.0133867870491</v>
      </c>
      <c r="AJ27" s="307">
        <f t="shared" si="13"/>
        <v>7216.4019493150881</v>
      </c>
      <c r="AK27" s="307">
        <f t="shared" si="13"/>
        <v>8003.5360227703768</v>
      </c>
      <c r="AL27" s="307">
        <f t="shared" si="13"/>
        <v>8876.9546879621248</v>
      </c>
      <c r="AM27" s="307">
        <f t="shared" ref="AM27:BF27" si="14">SUM(AM18)-SUM(AM24)</f>
        <v>9846.1357429458822</v>
      </c>
      <c r="AN27" s="307">
        <f t="shared" si="14"/>
        <v>10921.59893574671</v>
      </c>
      <c r="AO27" s="307">
        <f t="shared" si="14"/>
        <v>12115.020551504082</v>
      </c>
      <c r="AP27" s="307">
        <f t="shared" si="14"/>
        <v>13439.360602971901</v>
      </c>
      <c r="AQ27" s="307">
        <f t="shared" si="14"/>
        <v>14909.004010687288</v>
      </c>
      <c r="AR27" s="307">
        <f t="shared" si="14"/>
        <v>16539.917311613848</v>
      </c>
      <c r="AS27" s="307">
        <f t="shared" si="14"/>
        <v>18349.822604331122</v>
      </c>
      <c r="AT27" s="307">
        <f t="shared" si="14"/>
        <v>20358.390626727087</v>
      </c>
      <c r="AU27" s="307">
        <f t="shared" si="14"/>
        <v>22587.455070702985</v>
      </c>
      <c r="AV27" s="307">
        <f t="shared" si="14"/>
        <v>25061.250469892853</v>
      </c>
      <c r="AW27" s="307">
        <f t="shared" si="14"/>
        <v>27806.676253357167</v>
      </c>
      <c r="AX27" s="307">
        <f t="shared" si="14"/>
        <v>30853.589843432484</v>
      </c>
      <c r="AY27" s="307">
        <f t="shared" si="14"/>
        <v>34235.131992515351</v>
      </c>
      <c r="AZ27" s="307">
        <f t="shared" si="14"/>
        <v>37988.087904981076</v>
      </c>
      <c r="BA27" s="307">
        <f t="shared" si="14"/>
        <v>42153.288080516031</v>
      </c>
      <c r="BB27" s="307">
        <f t="shared" si="14"/>
        <v>46776.053248129268</v>
      </c>
      <c r="BC27" s="307">
        <f t="shared" si="14"/>
        <v>51906.688240723983</v>
      </c>
      <c r="BD27" s="307">
        <f t="shared" si="14"/>
        <v>57601.030193592647</v>
      </c>
      <c r="BE27" s="307">
        <f t="shared" si="14"/>
        <v>63921.057042364366</v>
      </c>
      <c r="BF27" s="307">
        <f t="shared" si="14"/>
        <v>70935.562953237415</v>
      </c>
      <c r="BG27" s="128"/>
    </row>
    <row r="28" spans="3:59" ht="15" customHeight="1" x14ac:dyDescent="0.2">
      <c r="C28" s="281"/>
      <c r="D28" s="282"/>
      <c r="E28" s="283"/>
      <c r="F28" s="299"/>
      <c r="G28" s="300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02"/>
      <c r="W28" s="302"/>
      <c r="X28" s="302"/>
      <c r="Y28" s="302"/>
      <c r="Z28" s="309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  <c r="AK28" s="307"/>
      <c r="AL28" s="307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  <c r="AY28" s="307"/>
      <c r="AZ28" s="307"/>
      <c r="BA28" s="307"/>
      <c r="BB28" s="307"/>
      <c r="BC28" s="307"/>
      <c r="BD28" s="307"/>
      <c r="BE28" s="307"/>
      <c r="BF28" s="307"/>
      <c r="BG28" s="128"/>
    </row>
    <row r="29" spans="3:59" ht="15" customHeight="1" x14ac:dyDescent="0.2">
      <c r="C29" s="284"/>
      <c r="D29" s="285"/>
      <c r="E29" s="286"/>
      <c r="F29" s="299"/>
      <c r="G29" s="300"/>
      <c r="H29" s="303"/>
      <c r="I29" s="303"/>
      <c r="J29" s="303"/>
      <c r="K29" s="303"/>
      <c r="L29" s="303"/>
      <c r="M29" s="303"/>
      <c r="N29" s="303"/>
      <c r="O29" s="303"/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10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  <c r="AY29" s="307"/>
      <c r="AZ29" s="307"/>
      <c r="BA29" s="307"/>
      <c r="BB29" s="307"/>
      <c r="BC29" s="307"/>
      <c r="BD29" s="307"/>
      <c r="BE29" s="307"/>
      <c r="BF29" s="307"/>
      <c r="BG29" s="128"/>
    </row>
    <row r="30" spans="3:59" ht="15" customHeight="1" x14ac:dyDescent="0.2">
      <c r="C30" s="311" t="s">
        <v>269</v>
      </c>
      <c r="D30" s="312"/>
      <c r="E30" s="313"/>
      <c r="F30" s="167" t="s">
        <v>129</v>
      </c>
      <c r="G30" s="168">
        <f>F17/K5</f>
        <v>-49.834421940881057</v>
      </c>
      <c r="H30" s="168">
        <f>F17/K5</f>
        <v>-49.834421940881057</v>
      </c>
      <c r="I30" s="168">
        <f>F17/K5</f>
        <v>-49.834421940881057</v>
      </c>
      <c r="J30" s="168">
        <f>F17/K5</f>
        <v>-49.834421940881057</v>
      </c>
      <c r="K30" s="168">
        <f>F17/K5</f>
        <v>-49.834421940881057</v>
      </c>
      <c r="L30" s="168">
        <f>F17/K5</f>
        <v>-49.834421940881057</v>
      </c>
      <c r="M30" s="168">
        <f>F17/K5</f>
        <v>-49.834421940881057</v>
      </c>
      <c r="N30" s="168">
        <f>F17/K5</f>
        <v>-49.834421940881057</v>
      </c>
      <c r="O30" s="168">
        <f>F17/K5</f>
        <v>-49.834421940881057</v>
      </c>
      <c r="P30" s="168">
        <f>F17/K5</f>
        <v>-49.834421940881057</v>
      </c>
      <c r="Q30" s="168">
        <f>F17/K5</f>
        <v>-49.834421940881057</v>
      </c>
      <c r="R30" s="168">
        <f>F17/K5</f>
        <v>-49.834421940881057</v>
      </c>
      <c r="S30" s="168">
        <f>F17/K5</f>
        <v>-49.834421940881057</v>
      </c>
      <c r="T30" s="168">
        <f>F17/K5</f>
        <v>-49.834421940881057</v>
      </c>
      <c r="U30" s="168">
        <f>F17/K5</f>
        <v>-49.834421940881057</v>
      </c>
      <c r="V30" s="168">
        <f>F17/K5</f>
        <v>-49.834421940881057</v>
      </c>
      <c r="W30" s="168">
        <f>F17/K5</f>
        <v>-49.834421940881057</v>
      </c>
      <c r="X30" s="168">
        <f>F17/K5</f>
        <v>-49.834421940881057</v>
      </c>
      <c r="Y30" s="168">
        <f>F17/K5</f>
        <v>-49.834421940881057</v>
      </c>
      <c r="Z30" s="169">
        <f>F17/K5</f>
        <v>-49.834421940881057</v>
      </c>
      <c r="AA30" s="170">
        <f>F17/K5</f>
        <v>-49.834421940881057</v>
      </c>
      <c r="AB30" s="170">
        <f>F17/K5</f>
        <v>-49.834421940881057</v>
      </c>
      <c r="AC30" s="170">
        <f>F17/K5</f>
        <v>-49.834421940881057</v>
      </c>
      <c r="AD30" s="170">
        <f>F17/K5</f>
        <v>-49.834421940881057</v>
      </c>
      <c r="AE30" s="170">
        <f>F17/K5</f>
        <v>-49.834421940881057</v>
      </c>
      <c r="AF30" s="170">
        <f>F17/K5</f>
        <v>-49.834421940881057</v>
      </c>
      <c r="AG30" s="170">
        <f>F17/K5</f>
        <v>-49.834421940881057</v>
      </c>
      <c r="AH30" s="170">
        <f>F17/K5</f>
        <v>-49.834421940881057</v>
      </c>
      <c r="AI30" s="170">
        <f>F17/K5</f>
        <v>-49.834421940881057</v>
      </c>
      <c r="AJ30" s="170">
        <f>F17/K5</f>
        <v>-49.834421940881057</v>
      </c>
      <c r="AK30" s="170">
        <f>F17/K5</f>
        <v>-49.834421940881057</v>
      </c>
      <c r="AL30" s="170">
        <f>F17/K5</f>
        <v>-49.834421940881057</v>
      </c>
      <c r="AM30" s="170">
        <f>F17/K5</f>
        <v>-49.834421940881057</v>
      </c>
      <c r="AN30" s="170">
        <f>F17/K5</f>
        <v>-49.834421940881057</v>
      </c>
      <c r="AO30" s="170">
        <f>F17/K5</f>
        <v>-49.834421940881057</v>
      </c>
      <c r="AP30" s="170">
        <f>F17/K5</f>
        <v>-49.834421940881057</v>
      </c>
      <c r="AQ30" s="170">
        <f>F17/K5</f>
        <v>-49.834421940881057</v>
      </c>
      <c r="AR30" s="170">
        <f>F17/K5</f>
        <v>-49.834421940881057</v>
      </c>
      <c r="AS30" s="170">
        <f>F17/K5</f>
        <v>-49.834421940881057</v>
      </c>
      <c r="AT30" s="170">
        <f>F17/K5</f>
        <v>-49.834421940881057</v>
      </c>
      <c r="AU30" s="170">
        <f>F17/K5</f>
        <v>-49.834421940881057</v>
      </c>
      <c r="AV30" s="170">
        <f>F17/K5</f>
        <v>-49.834421940881057</v>
      </c>
      <c r="AW30" s="170">
        <f>F17/K5</f>
        <v>-49.834421940881057</v>
      </c>
      <c r="AX30" s="170">
        <f>F17/K5</f>
        <v>-49.834421940881057</v>
      </c>
      <c r="AY30" s="170">
        <f>F17/K5</f>
        <v>-49.834421940881057</v>
      </c>
      <c r="AZ30" s="170">
        <f>F17/K5</f>
        <v>-49.834421940881057</v>
      </c>
      <c r="BA30" s="170">
        <f>F17/K5</f>
        <v>-49.834421940881057</v>
      </c>
      <c r="BB30" s="170">
        <f>F17/K5</f>
        <v>-49.834421940881057</v>
      </c>
      <c r="BC30" s="170">
        <f>F17/K5</f>
        <v>-49.834421940881057</v>
      </c>
      <c r="BD30" s="170">
        <f>F17/K5</f>
        <v>-49.834421940881057</v>
      </c>
      <c r="BE30" s="170">
        <f>F17/K5</f>
        <v>-49.834421940881057</v>
      </c>
      <c r="BF30" s="170">
        <f>F17/K5</f>
        <v>-49.834421940881057</v>
      </c>
      <c r="BG30" s="128"/>
    </row>
    <row r="31" spans="3:59" ht="15" customHeight="1" x14ac:dyDescent="0.2">
      <c r="C31" s="278" t="s">
        <v>272</v>
      </c>
      <c r="D31" s="279"/>
      <c r="E31" s="280"/>
      <c r="F31" s="314" t="s">
        <v>129</v>
      </c>
      <c r="G31" s="300">
        <f t="shared" ref="G31:AL31" si="15">G27+G30</f>
        <v>146.11695633111896</v>
      </c>
      <c r="H31" s="301">
        <f t="shared" si="15"/>
        <v>244.09264546711904</v>
      </c>
      <c r="I31" s="301">
        <f t="shared" si="15"/>
        <v>391.05617917111903</v>
      </c>
      <c r="J31" s="301">
        <f t="shared" si="15"/>
        <v>447.06678626563894</v>
      </c>
      <c r="K31" s="301">
        <f t="shared" si="15"/>
        <v>505.5935119031933</v>
      </c>
      <c r="L31" s="301">
        <f t="shared" si="15"/>
        <v>567.07764431177657</v>
      </c>
      <c r="M31" s="301">
        <f t="shared" si="15"/>
        <v>632.61874041559429</v>
      </c>
      <c r="N31" s="301">
        <f t="shared" si="15"/>
        <v>705.26499168755288</v>
      </c>
      <c r="O31" s="301">
        <f t="shared" si="15"/>
        <v>785.79326875300069</v>
      </c>
      <c r="P31" s="301">
        <f t="shared" si="15"/>
        <v>875.06568666613214</v>
      </c>
      <c r="Q31" s="301">
        <f t="shared" si="15"/>
        <v>974.03897228686435</v>
      </c>
      <c r="R31" s="301">
        <f t="shared" si="15"/>
        <v>1083.7748616412052</v>
      </c>
      <c r="S31" s="301">
        <f t="shared" si="15"/>
        <v>1205.4516405440415</v>
      </c>
      <c r="T31" s="301">
        <f t="shared" si="15"/>
        <v>1340.3769542230864</v>
      </c>
      <c r="U31" s="301">
        <f t="shared" si="15"/>
        <v>1490.0020255130826</v>
      </c>
      <c r="V31" s="301">
        <f t="shared" si="15"/>
        <v>1655.937436541017</v>
      </c>
      <c r="W31" s="301">
        <f t="shared" si="15"/>
        <v>1839.9706458633837</v>
      </c>
      <c r="X31" s="301">
        <f t="shared" si="15"/>
        <v>2044.0854319312318</v>
      </c>
      <c r="Y31" s="301">
        <f t="shared" si="15"/>
        <v>2270.4834747539658</v>
      </c>
      <c r="Z31" s="308">
        <f t="shared" si="15"/>
        <v>2521.6083109375559</v>
      </c>
      <c r="AA31" s="307">
        <f t="shared" si="15"/>
        <v>2800.1719231409634</v>
      </c>
      <c r="AB31" s="307">
        <f t="shared" si="15"/>
        <v>3109.1842537081511</v>
      </c>
      <c r="AC31" s="307">
        <f t="shared" si="15"/>
        <v>3451.9859641050971</v>
      </c>
      <c r="AD31" s="307">
        <f t="shared" si="15"/>
        <v>3832.2847971691072</v>
      </c>
      <c r="AE31" s="307">
        <f t="shared" si="15"/>
        <v>4254.1959384471111</v>
      </c>
      <c r="AF31" s="307">
        <f t="shared" si="15"/>
        <v>4722.2868164886113</v>
      </c>
      <c r="AG31" s="307">
        <f t="shared" si="15"/>
        <v>5241.6268303426241</v>
      </c>
      <c r="AH31" s="307">
        <f t="shared" si="15"/>
        <v>5817.842546213783</v>
      </c>
      <c r="AI31" s="307">
        <f t="shared" si="15"/>
        <v>6457.1789648461681</v>
      </c>
      <c r="AJ31" s="307">
        <f t="shared" si="15"/>
        <v>7166.5675273742072</v>
      </c>
      <c r="AK31" s="307">
        <f t="shared" si="15"/>
        <v>7953.7016008294959</v>
      </c>
      <c r="AL31" s="307">
        <f t="shared" si="15"/>
        <v>8827.1202660212439</v>
      </c>
      <c r="AM31" s="307">
        <f t="shared" ref="AM31:BF31" si="16">AM27+AM30</f>
        <v>9796.3013210050012</v>
      </c>
      <c r="AN31" s="307">
        <f t="shared" si="16"/>
        <v>10871.764513805829</v>
      </c>
      <c r="AO31" s="307">
        <f t="shared" si="16"/>
        <v>12065.186129563201</v>
      </c>
      <c r="AP31" s="307">
        <f t="shared" si="16"/>
        <v>13389.52618103102</v>
      </c>
      <c r="AQ31" s="307">
        <f t="shared" si="16"/>
        <v>14859.169588746407</v>
      </c>
      <c r="AR31" s="307">
        <f t="shared" si="16"/>
        <v>16490.082889672965</v>
      </c>
      <c r="AS31" s="307">
        <f t="shared" si="16"/>
        <v>18299.98818239024</v>
      </c>
      <c r="AT31" s="307">
        <f t="shared" si="16"/>
        <v>20308.556204786204</v>
      </c>
      <c r="AU31" s="307">
        <f t="shared" si="16"/>
        <v>22537.620648762102</v>
      </c>
      <c r="AV31" s="307">
        <f t="shared" si="16"/>
        <v>25011.416047951971</v>
      </c>
      <c r="AW31" s="307">
        <f t="shared" si="16"/>
        <v>27756.841831416285</v>
      </c>
      <c r="AX31" s="307">
        <f t="shared" si="16"/>
        <v>30803.755421491602</v>
      </c>
      <c r="AY31" s="307">
        <f t="shared" si="16"/>
        <v>34185.297570574468</v>
      </c>
      <c r="AZ31" s="307">
        <f t="shared" si="16"/>
        <v>37938.253483040193</v>
      </c>
      <c r="BA31" s="307">
        <f t="shared" si="16"/>
        <v>42103.453658575148</v>
      </c>
      <c r="BB31" s="307">
        <f t="shared" si="16"/>
        <v>46726.218826188386</v>
      </c>
      <c r="BC31" s="307">
        <f t="shared" si="16"/>
        <v>51856.8538187831</v>
      </c>
      <c r="BD31" s="307">
        <f t="shared" si="16"/>
        <v>57551.195771651765</v>
      </c>
      <c r="BE31" s="307">
        <f t="shared" si="16"/>
        <v>63871.222620423483</v>
      </c>
      <c r="BF31" s="307">
        <f t="shared" si="16"/>
        <v>70885.72853129654</v>
      </c>
      <c r="BG31" s="128"/>
    </row>
    <row r="32" spans="3:59" ht="15" customHeight="1" x14ac:dyDescent="0.2">
      <c r="C32" s="284"/>
      <c r="D32" s="285"/>
      <c r="E32" s="286"/>
      <c r="F32" s="315"/>
      <c r="G32" s="300"/>
      <c r="H32" s="303"/>
      <c r="I32" s="303"/>
      <c r="J32" s="303"/>
      <c r="K32" s="303"/>
      <c r="L32" s="303"/>
      <c r="M32" s="303"/>
      <c r="N32" s="303"/>
      <c r="O32" s="303"/>
      <c r="P32" s="303"/>
      <c r="Q32" s="303"/>
      <c r="R32" s="303"/>
      <c r="S32" s="303"/>
      <c r="T32" s="303"/>
      <c r="U32" s="303"/>
      <c r="V32" s="303"/>
      <c r="W32" s="303"/>
      <c r="X32" s="303"/>
      <c r="Y32" s="303"/>
      <c r="Z32" s="310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  <c r="AN32" s="307"/>
      <c r="AO32" s="307"/>
      <c r="AP32" s="307"/>
      <c r="AQ32" s="307"/>
      <c r="AR32" s="307"/>
      <c r="AS32" s="307"/>
      <c r="AT32" s="307"/>
      <c r="AU32" s="307"/>
      <c r="AV32" s="307"/>
      <c r="AW32" s="307"/>
      <c r="AX32" s="307"/>
      <c r="AY32" s="307"/>
      <c r="AZ32" s="307"/>
      <c r="BA32" s="307"/>
      <c r="BB32" s="307"/>
      <c r="BC32" s="307"/>
      <c r="BD32" s="307"/>
      <c r="BE32" s="307"/>
      <c r="BF32" s="307"/>
      <c r="BG32" s="128"/>
    </row>
    <row r="33" spans="3:59" ht="15" customHeight="1" x14ac:dyDescent="0.2">
      <c r="C33" s="311" t="s">
        <v>271</v>
      </c>
      <c r="D33" s="312"/>
      <c r="E33" s="313"/>
      <c r="F33" s="167" t="s">
        <v>129</v>
      </c>
      <c r="G33" s="168" t="str">
        <f t="shared" ref="G33:AL33" si="17">IF(G31&gt;0,IF(-G31*G8=0,"-",-G31*G8),"-")</f>
        <v>-</v>
      </c>
      <c r="H33" s="168" t="str">
        <f t="shared" si="17"/>
        <v>-</v>
      </c>
      <c r="I33" s="168" t="str">
        <f t="shared" si="17"/>
        <v>-</v>
      </c>
      <c r="J33" s="168" t="str">
        <f t="shared" si="17"/>
        <v>-</v>
      </c>
      <c r="K33" s="168" t="str">
        <f t="shared" si="17"/>
        <v>-</v>
      </c>
      <c r="L33" s="168" t="str">
        <f t="shared" si="17"/>
        <v>-</v>
      </c>
      <c r="M33" s="168" t="str">
        <f t="shared" si="17"/>
        <v>-</v>
      </c>
      <c r="N33" s="168" t="str">
        <f t="shared" si="17"/>
        <v>-</v>
      </c>
      <c r="O33" s="168" t="str">
        <f t="shared" si="17"/>
        <v>-</v>
      </c>
      <c r="P33" s="168" t="str">
        <f t="shared" si="17"/>
        <v>-</v>
      </c>
      <c r="Q33" s="168" t="str">
        <f t="shared" si="17"/>
        <v>-</v>
      </c>
      <c r="R33" s="168" t="str">
        <f t="shared" si="17"/>
        <v>-</v>
      </c>
      <c r="S33" s="168" t="str">
        <f t="shared" si="17"/>
        <v>-</v>
      </c>
      <c r="T33" s="168" t="str">
        <f t="shared" si="17"/>
        <v>-</v>
      </c>
      <c r="U33" s="168" t="str">
        <f t="shared" si="17"/>
        <v>-</v>
      </c>
      <c r="V33" s="168" t="str">
        <f t="shared" si="17"/>
        <v>-</v>
      </c>
      <c r="W33" s="168" t="str">
        <f t="shared" si="17"/>
        <v>-</v>
      </c>
      <c r="X33" s="168" t="str">
        <f t="shared" si="17"/>
        <v>-</v>
      </c>
      <c r="Y33" s="168" t="str">
        <f t="shared" si="17"/>
        <v>-</v>
      </c>
      <c r="Z33" s="169" t="str">
        <f t="shared" si="17"/>
        <v>-</v>
      </c>
      <c r="AA33" s="170" t="str">
        <f t="shared" si="17"/>
        <v>-</v>
      </c>
      <c r="AB33" s="170" t="str">
        <f t="shared" si="17"/>
        <v>-</v>
      </c>
      <c r="AC33" s="170" t="str">
        <f t="shared" si="17"/>
        <v>-</v>
      </c>
      <c r="AD33" s="170" t="str">
        <f t="shared" si="17"/>
        <v>-</v>
      </c>
      <c r="AE33" s="170" t="str">
        <f t="shared" si="17"/>
        <v>-</v>
      </c>
      <c r="AF33" s="170" t="str">
        <f t="shared" si="17"/>
        <v>-</v>
      </c>
      <c r="AG33" s="170" t="str">
        <f t="shared" si="17"/>
        <v>-</v>
      </c>
      <c r="AH33" s="170" t="str">
        <f t="shared" si="17"/>
        <v>-</v>
      </c>
      <c r="AI33" s="170" t="str">
        <f t="shared" si="17"/>
        <v>-</v>
      </c>
      <c r="AJ33" s="170" t="str">
        <f t="shared" si="17"/>
        <v>-</v>
      </c>
      <c r="AK33" s="170" t="str">
        <f t="shared" si="17"/>
        <v>-</v>
      </c>
      <c r="AL33" s="170" t="str">
        <f t="shared" si="17"/>
        <v>-</v>
      </c>
      <c r="AM33" s="170" t="str">
        <f t="shared" ref="AM33:BF33" si="18">IF(AM31&gt;0,IF(-AM31*AM8=0,"-",-AM31*AM8),"-")</f>
        <v>-</v>
      </c>
      <c r="AN33" s="170" t="str">
        <f t="shared" si="18"/>
        <v>-</v>
      </c>
      <c r="AO33" s="170" t="str">
        <f t="shared" si="18"/>
        <v>-</v>
      </c>
      <c r="AP33" s="170" t="str">
        <f t="shared" si="18"/>
        <v>-</v>
      </c>
      <c r="AQ33" s="170" t="str">
        <f t="shared" si="18"/>
        <v>-</v>
      </c>
      <c r="AR33" s="170" t="str">
        <f t="shared" si="18"/>
        <v>-</v>
      </c>
      <c r="AS33" s="170" t="str">
        <f t="shared" si="18"/>
        <v>-</v>
      </c>
      <c r="AT33" s="170" t="str">
        <f t="shared" si="18"/>
        <v>-</v>
      </c>
      <c r="AU33" s="170" t="str">
        <f t="shared" si="18"/>
        <v>-</v>
      </c>
      <c r="AV33" s="170" t="str">
        <f t="shared" si="18"/>
        <v>-</v>
      </c>
      <c r="AW33" s="170" t="str">
        <f t="shared" si="18"/>
        <v>-</v>
      </c>
      <c r="AX33" s="170" t="str">
        <f t="shared" si="18"/>
        <v>-</v>
      </c>
      <c r="AY33" s="170" t="str">
        <f t="shared" si="18"/>
        <v>-</v>
      </c>
      <c r="AZ33" s="170" t="str">
        <f t="shared" si="18"/>
        <v>-</v>
      </c>
      <c r="BA33" s="170" t="str">
        <f t="shared" si="18"/>
        <v>-</v>
      </c>
      <c r="BB33" s="170" t="str">
        <f t="shared" si="18"/>
        <v>-</v>
      </c>
      <c r="BC33" s="170" t="str">
        <f t="shared" si="18"/>
        <v>-</v>
      </c>
      <c r="BD33" s="170" t="str">
        <f t="shared" si="18"/>
        <v>-</v>
      </c>
      <c r="BE33" s="170" t="str">
        <f t="shared" si="18"/>
        <v>-</v>
      </c>
      <c r="BF33" s="170" t="str">
        <f t="shared" si="18"/>
        <v>-</v>
      </c>
      <c r="BG33" s="128"/>
    </row>
    <row r="34" spans="3:59" ht="15" customHeight="1" x14ac:dyDescent="0.2">
      <c r="C34" s="278" t="s">
        <v>270</v>
      </c>
      <c r="D34" s="279"/>
      <c r="E34" s="280"/>
      <c r="F34" s="299" t="s">
        <v>129</v>
      </c>
      <c r="G34" s="300">
        <f t="shared" ref="G34:AL34" si="19">SUM(G31)+SUM(G33)</f>
        <v>146.11695633111896</v>
      </c>
      <c r="H34" s="301">
        <f t="shared" si="19"/>
        <v>244.09264546711904</v>
      </c>
      <c r="I34" s="301">
        <f t="shared" si="19"/>
        <v>391.05617917111903</v>
      </c>
      <c r="J34" s="301">
        <f t="shared" si="19"/>
        <v>447.06678626563894</v>
      </c>
      <c r="K34" s="301">
        <f t="shared" si="19"/>
        <v>505.5935119031933</v>
      </c>
      <c r="L34" s="301">
        <f t="shared" si="19"/>
        <v>567.07764431177657</v>
      </c>
      <c r="M34" s="301">
        <f t="shared" si="19"/>
        <v>632.61874041559429</v>
      </c>
      <c r="N34" s="301">
        <f t="shared" si="19"/>
        <v>705.26499168755288</v>
      </c>
      <c r="O34" s="301">
        <f t="shared" si="19"/>
        <v>785.79326875300069</v>
      </c>
      <c r="P34" s="301">
        <f t="shared" si="19"/>
        <v>875.06568666613214</v>
      </c>
      <c r="Q34" s="301">
        <f t="shared" si="19"/>
        <v>974.03897228686435</v>
      </c>
      <c r="R34" s="301">
        <f t="shared" si="19"/>
        <v>1083.7748616412052</v>
      </c>
      <c r="S34" s="301">
        <f t="shared" si="19"/>
        <v>1205.4516405440415</v>
      </c>
      <c r="T34" s="301">
        <f t="shared" si="19"/>
        <v>1340.3769542230864</v>
      </c>
      <c r="U34" s="301">
        <f t="shared" si="19"/>
        <v>1490.0020255130826</v>
      </c>
      <c r="V34" s="301">
        <f t="shared" si="19"/>
        <v>1655.937436541017</v>
      </c>
      <c r="W34" s="301">
        <f t="shared" si="19"/>
        <v>1839.9706458633837</v>
      </c>
      <c r="X34" s="301">
        <f t="shared" si="19"/>
        <v>2044.0854319312318</v>
      </c>
      <c r="Y34" s="301">
        <f t="shared" si="19"/>
        <v>2270.4834747539658</v>
      </c>
      <c r="Z34" s="308">
        <f t="shared" si="19"/>
        <v>2521.6083109375559</v>
      </c>
      <c r="AA34" s="307">
        <f t="shared" si="19"/>
        <v>2800.1719231409634</v>
      </c>
      <c r="AB34" s="307">
        <f t="shared" si="19"/>
        <v>3109.1842537081511</v>
      </c>
      <c r="AC34" s="307">
        <f t="shared" si="19"/>
        <v>3451.9859641050971</v>
      </c>
      <c r="AD34" s="307">
        <f t="shared" si="19"/>
        <v>3832.2847971691072</v>
      </c>
      <c r="AE34" s="307">
        <f t="shared" si="19"/>
        <v>4254.1959384471111</v>
      </c>
      <c r="AF34" s="307">
        <f t="shared" si="19"/>
        <v>4722.2868164886113</v>
      </c>
      <c r="AG34" s="307">
        <f t="shared" si="19"/>
        <v>5241.6268303426241</v>
      </c>
      <c r="AH34" s="307">
        <f t="shared" si="19"/>
        <v>5817.842546213783</v>
      </c>
      <c r="AI34" s="307">
        <f t="shared" si="19"/>
        <v>6457.1789648461681</v>
      </c>
      <c r="AJ34" s="307">
        <f t="shared" si="19"/>
        <v>7166.5675273742072</v>
      </c>
      <c r="AK34" s="307">
        <f t="shared" si="19"/>
        <v>7953.7016008294959</v>
      </c>
      <c r="AL34" s="307">
        <f t="shared" si="19"/>
        <v>8827.1202660212439</v>
      </c>
      <c r="AM34" s="307">
        <f t="shared" ref="AM34:BF34" si="20">SUM(AM31)+SUM(AM33)</f>
        <v>9796.3013210050012</v>
      </c>
      <c r="AN34" s="307">
        <f t="shared" si="20"/>
        <v>10871.764513805829</v>
      </c>
      <c r="AO34" s="307">
        <f t="shared" si="20"/>
        <v>12065.186129563201</v>
      </c>
      <c r="AP34" s="307">
        <f t="shared" si="20"/>
        <v>13389.52618103102</v>
      </c>
      <c r="AQ34" s="307">
        <f t="shared" si="20"/>
        <v>14859.169588746407</v>
      </c>
      <c r="AR34" s="307">
        <f t="shared" si="20"/>
        <v>16490.082889672965</v>
      </c>
      <c r="AS34" s="307">
        <f t="shared" si="20"/>
        <v>18299.98818239024</v>
      </c>
      <c r="AT34" s="307">
        <f t="shared" si="20"/>
        <v>20308.556204786204</v>
      </c>
      <c r="AU34" s="307">
        <f t="shared" si="20"/>
        <v>22537.620648762102</v>
      </c>
      <c r="AV34" s="307">
        <f t="shared" si="20"/>
        <v>25011.416047951971</v>
      </c>
      <c r="AW34" s="307">
        <f t="shared" si="20"/>
        <v>27756.841831416285</v>
      </c>
      <c r="AX34" s="307">
        <f t="shared" si="20"/>
        <v>30803.755421491602</v>
      </c>
      <c r="AY34" s="307">
        <f t="shared" si="20"/>
        <v>34185.297570574468</v>
      </c>
      <c r="AZ34" s="307">
        <f t="shared" si="20"/>
        <v>37938.253483040193</v>
      </c>
      <c r="BA34" s="307">
        <f t="shared" si="20"/>
        <v>42103.453658575148</v>
      </c>
      <c r="BB34" s="307">
        <f t="shared" si="20"/>
        <v>46726.218826188386</v>
      </c>
      <c r="BC34" s="307">
        <f t="shared" si="20"/>
        <v>51856.8538187831</v>
      </c>
      <c r="BD34" s="307">
        <f t="shared" si="20"/>
        <v>57551.195771651765</v>
      </c>
      <c r="BE34" s="307">
        <f t="shared" si="20"/>
        <v>63871.222620423483</v>
      </c>
      <c r="BF34" s="307">
        <f t="shared" si="20"/>
        <v>70885.72853129654</v>
      </c>
      <c r="BG34" s="128"/>
    </row>
    <row r="35" spans="3:59" ht="15" customHeight="1" x14ac:dyDescent="0.2">
      <c r="C35" s="284"/>
      <c r="D35" s="285"/>
      <c r="E35" s="286"/>
      <c r="F35" s="299"/>
      <c r="G35" s="300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10"/>
      <c r="AA35" s="307"/>
      <c r="AB35" s="307"/>
      <c r="AC35" s="307"/>
      <c r="AD35" s="307"/>
      <c r="AE35" s="307"/>
      <c r="AF35" s="307"/>
      <c r="AG35" s="307"/>
      <c r="AH35" s="307"/>
      <c r="AI35" s="307"/>
      <c r="AJ35" s="307"/>
      <c r="AK35" s="307"/>
      <c r="AL35" s="307"/>
      <c r="AM35" s="307"/>
      <c r="AN35" s="307"/>
      <c r="AO35" s="307"/>
      <c r="AP35" s="307"/>
      <c r="AQ35" s="307"/>
      <c r="AR35" s="307"/>
      <c r="AS35" s="307"/>
      <c r="AT35" s="307"/>
      <c r="AU35" s="307"/>
      <c r="AV35" s="307"/>
      <c r="AW35" s="307"/>
      <c r="AX35" s="307"/>
      <c r="AY35" s="307"/>
      <c r="AZ35" s="307"/>
      <c r="BA35" s="307"/>
      <c r="BB35" s="307"/>
      <c r="BC35" s="307"/>
      <c r="BD35" s="307"/>
      <c r="BE35" s="307"/>
      <c r="BF35" s="307"/>
      <c r="BG35" s="128"/>
    </row>
    <row r="36" spans="3:59" ht="15" customHeight="1" x14ac:dyDescent="0.2">
      <c r="C36" s="311" t="s">
        <v>269</v>
      </c>
      <c r="D36" s="312"/>
      <c r="E36" s="313"/>
      <c r="F36" s="167" t="s">
        <v>129</v>
      </c>
      <c r="G36" s="168">
        <f t="shared" ref="G36:AL36" si="21">-G30</f>
        <v>49.834421940881057</v>
      </c>
      <c r="H36" s="168">
        <f t="shared" si="21"/>
        <v>49.834421940881057</v>
      </c>
      <c r="I36" s="168">
        <f t="shared" si="21"/>
        <v>49.834421940881057</v>
      </c>
      <c r="J36" s="168">
        <f t="shared" si="21"/>
        <v>49.834421940881057</v>
      </c>
      <c r="K36" s="168">
        <f t="shared" si="21"/>
        <v>49.834421940881057</v>
      </c>
      <c r="L36" s="168">
        <f t="shared" si="21"/>
        <v>49.834421940881057</v>
      </c>
      <c r="M36" s="168">
        <f t="shared" si="21"/>
        <v>49.834421940881057</v>
      </c>
      <c r="N36" s="168">
        <f t="shared" si="21"/>
        <v>49.834421940881057</v>
      </c>
      <c r="O36" s="168">
        <f t="shared" si="21"/>
        <v>49.834421940881057</v>
      </c>
      <c r="P36" s="168">
        <f t="shared" si="21"/>
        <v>49.834421940881057</v>
      </c>
      <c r="Q36" s="168">
        <f t="shared" si="21"/>
        <v>49.834421940881057</v>
      </c>
      <c r="R36" s="168">
        <f t="shared" si="21"/>
        <v>49.834421940881057</v>
      </c>
      <c r="S36" s="168">
        <f t="shared" si="21"/>
        <v>49.834421940881057</v>
      </c>
      <c r="T36" s="168">
        <f t="shared" si="21"/>
        <v>49.834421940881057</v>
      </c>
      <c r="U36" s="168">
        <f t="shared" si="21"/>
        <v>49.834421940881057</v>
      </c>
      <c r="V36" s="168">
        <f t="shared" si="21"/>
        <v>49.834421940881057</v>
      </c>
      <c r="W36" s="168">
        <f t="shared" si="21"/>
        <v>49.834421940881057</v>
      </c>
      <c r="X36" s="168">
        <f t="shared" si="21"/>
        <v>49.834421940881057</v>
      </c>
      <c r="Y36" s="168">
        <f t="shared" si="21"/>
        <v>49.834421940881057</v>
      </c>
      <c r="Z36" s="169">
        <f t="shared" si="21"/>
        <v>49.834421940881057</v>
      </c>
      <c r="AA36" s="170">
        <f t="shared" si="21"/>
        <v>49.834421940881057</v>
      </c>
      <c r="AB36" s="170">
        <f t="shared" si="21"/>
        <v>49.834421940881057</v>
      </c>
      <c r="AC36" s="170">
        <f t="shared" si="21"/>
        <v>49.834421940881057</v>
      </c>
      <c r="AD36" s="170">
        <f t="shared" si="21"/>
        <v>49.834421940881057</v>
      </c>
      <c r="AE36" s="170">
        <f t="shared" si="21"/>
        <v>49.834421940881057</v>
      </c>
      <c r="AF36" s="170">
        <f t="shared" si="21"/>
        <v>49.834421940881057</v>
      </c>
      <c r="AG36" s="170">
        <f t="shared" si="21"/>
        <v>49.834421940881057</v>
      </c>
      <c r="AH36" s="170">
        <f t="shared" si="21"/>
        <v>49.834421940881057</v>
      </c>
      <c r="AI36" s="170">
        <f t="shared" si="21"/>
        <v>49.834421940881057</v>
      </c>
      <c r="AJ36" s="170">
        <f t="shared" si="21"/>
        <v>49.834421940881057</v>
      </c>
      <c r="AK36" s="170">
        <f t="shared" si="21"/>
        <v>49.834421940881057</v>
      </c>
      <c r="AL36" s="170">
        <f t="shared" si="21"/>
        <v>49.834421940881057</v>
      </c>
      <c r="AM36" s="170">
        <f t="shared" ref="AM36:BF36" si="22">-AM30</f>
        <v>49.834421940881057</v>
      </c>
      <c r="AN36" s="170">
        <f t="shared" si="22"/>
        <v>49.834421940881057</v>
      </c>
      <c r="AO36" s="170">
        <f t="shared" si="22"/>
        <v>49.834421940881057</v>
      </c>
      <c r="AP36" s="170">
        <f t="shared" si="22"/>
        <v>49.834421940881057</v>
      </c>
      <c r="AQ36" s="170">
        <f t="shared" si="22"/>
        <v>49.834421940881057</v>
      </c>
      <c r="AR36" s="170">
        <f t="shared" si="22"/>
        <v>49.834421940881057</v>
      </c>
      <c r="AS36" s="170">
        <f t="shared" si="22"/>
        <v>49.834421940881057</v>
      </c>
      <c r="AT36" s="170">
        <f t="shared" si="22"/>
        <v>49.834421940881057</v>
      </c>
      <c r="AU36" s="170">
        <f t="shared" si="22"/>
        <v>49.834421940881057</v>
      </c>
      <c r="AV36" s="170">
        <f t="shared" si="22"/>
        <v>49.834421940881057</v>
      </c>
      <c r="AW36" s="170">
        <f t="shared" si="22"/>
        <v>49.834421940881057</v>
      </c>
      <c r="AX36" s="170">
        <f t="shared" si="22"/>
        <v>49.834421940881057</v>
      </c>
      <c r="AY36" s="170">
        <f t="shared" si="22"/>
        <v>49.834421940881057</v>
      </c>
      <c r="AZ36" s="170">
        <f t="shared" si="22"/>
        <v>49.834421940881057</v>
      </c>
      <c r="BA36" s="170">
        <f t="shared" si="22"/>
        <v>49.834421940881057</v>
      </c>
      <c r="BB36" s="170">
        <f t="shared" si="22"/>
        <v>49.834421940881057</v>
      </c>
      <c r="BC36" s="170">
        <f t="shared" si="22"/>
        <v>49.834421940881057</v>
      </c>
      <c r="BD36" s="170">
        <f t="shared" si="22"/>
        <v>49.834421940881057</v>
      </c>
      <c r="BE36" s="170">
        <f t="shared" si="22"/>
        <v>49.834421940881057</v>
      </c>
      <c r="BF36" s="170">
        <f t="shared" si="22"/>
        <v>49.834421940881057</v>
      </c>
      <c r="BG36" s="128"/>
    </row>
    <row r="37" spans="3:59" ht="15" customHeight="1" x14ac:dyDescent="0.2">
      <c r="C37" s="316" t="s">
        <v>268</v>
      </c>
      <c r="D37" s="317"/>
      <c r="E37" s="318"/>
      <c r="F37" s="163">
        <f t="shared" ref="F37:AK37" si="23">F17+SUM(F34:F36)</f>
        <v>-2491.7210970440528</v>
      </c>
      <c r="G37" s="164">
        <f t="shared" si="23"/>
        <v>195.951378272</v>
      </c>
      <c r="H37" s="164">
        <f t="shared" si="23"/>
        <v>293.92706740800008</v>
      </c>
      <c r="I37" s="164">
        <f t="shared" si="23"/>
        <v>440.89060111200007</v>
      </c>
      <c r="J37" s="164">
        <f t="shared" si="23"/>
        <v>496.90120820651998</v>
      </c>
      <c r="K37" s="164">
        <f t="shared" si="23"/>
        <v>555.42793384407435</v>
      </c>
      <c r="L37" s="164">
        <f t="shared" si="23"/>
        <v>616.91206625265761</v>
      </c>
      <c r="M37" s="164">
        <f t="shared" si="23"/>
        <v>682.45316235647533</v>
      </c>
      <c r="N37" s="164">
        <f t="shared" si="23"/>
        <v>755.09941362843392</v>
      </c>
      <c r="O37" s="164">
        <f t="shared" si="23"/>
        <v>835.62769069388173</v>
      </c>
      <c r="P37" s="164">
        <f t="shared" si="23"/>
        <v>924.90010860701318</v>
      </c>
      <c r="Q37" s="164">
        <f t="shared" si="23"/>
        <v>1023.8733942277454</v>
      </c>
      <c r="R37" s="164">
        <f t="shared" si="23"/>
        <v>1133.6092835820864</v>
      </c>
      <c r="S37" s="164">
        <f t="shared" si="23"/>
        <v>1255.2860624849227</v>
      </c>
      <c r="T37" s="164">
        <f t="shared" si="23"/>
        <v>1390.2113761639675</v>
      </c>
      <c r="U37" s="164">
        <f t="shared" si="23"/>
        <v>1539.8364474539637</v>
      </c>
      <c r="V37" s="164">
        <f t="shared" si="23"/>
        <v>1705.7718584818981</v>
      </c>
      <c r="W37" s="164">
        <f t="shared" si="23"/>
        <v>1889.8050678042648</v>
      </c>
      <c r="X37" s="164">
        <f t="shared" si="23"/>
        <v>2093.919853872113</v>
      </c>
      <c r="Y37" s="164">
        <f t="shared" si="23"/>
        <v>2320.3178966948467</v>
      </c>
      <c r="Z37" s="165">
        <f t="shared" si="23"/>
        <v>2571.4427328784368</v>
      </c>
      <c r="AA37" s="166">
        <f t="shared" si="23"/>
        <v>2850.0063450818443</v>
      </c>
      <c r="AB37" s="166">
        <f t="shared" si="23"/>
        <v>3159.018675649032</v>
      </c>
      <c r="AC37" s="166">
        <f t="shared" si="23"/>
        <v>3501.820386045978</v>
      </c>
      <c r="AD37" s="166">
        <f t="shared" si="23"/>
        <v>3882.1192191099881</v>
      </c>
      <c r="AE37" s="166">
        <f t="shared" si="23"/>
        <v>4304.030360387992</v>
      </c>
      <c r="AF37" s="166">
        <f t="shared" si="23"/>
        <v>4772.1212384294922</v>
      </c>
      <c r="AG37" s="166">
        <f t="shared" si="23"/>
        <v>5291.461252283505</v>
      </c>
      <c r="AH37" s="166">
        <f t="shared" si="23"/>
        <v>5867.6769681546639</v>
      </c>
      <c r="AI37" s="166">
        <f t="shared" si="23"/>
        <v>6507.0133867870491</v>
      </c>
      <c r="AJ37" s="166">
        <f t="shared" si="23"/>
        <v>7216.4019493150881</v>
      </c>
      <c r="AK37" s="166">
        <f t="shared" si="23"/>
        <v>8003.5360227703768</v>
      </c>
      <c r="AL37" s="166">
        <f t="shared" ref="AL37:BF37" si="24">AL17+SUM(AL34:AL36)</f>
        <v>8876.9546879621248</v>
      </c>
      <c r="AM37" s="166">
        <f t="shared" si="24"/>
        <v>9846.1357429458822</v>
      </c>
      <c r="AN37" s="166">
        <f t="shared" si="24"/>
        <v>10921.59893574671</v>
      </c>
      <c r="AO37" s="166">
        <f t="shared" si="24"/>
        <v>12115.020551504082</v>
      </c>
      <c r="AP37" s="166">
        <f t="shared" si="24"/>
        <v>13439.360602971901</v>
      </c>
      <c r="AQ37" s="166">
        <f t="shared" si="24"/>
        <v>14909.004010687288</v>
      </c>
      <c r="AR37" s="166">
        <f t="shared" si="24"/>
        <v>16539.917311613848</v>
      </c>
      <c r="AS37" s="166">
        <f t="shared" si="24"/>
        <v>18349.822604331122</v>
      </c>
      <c r="AT37" s="166">
        <f t="shared" si="24"/>
        <v>20358.390626727087</v>
      </c>
      <c r="AU37" s="166">
        <f t="shared" si="24"/>
        <v>22587.455070702985</v>
      </c>
      <c r="AV37" s="166">
        <f t="shared" si="24"/>
        <v>25061.250469892853</v>
      </c>
      <c r="AW37" s="166">
        <f t="shared" si="24"/>
        <v>27806.676253357167</v>
      </c>
      <c r="AX37" s="166">
        <f t="shared" si="24"/>
        <v>30853.589843432484</v>
      </c>
      <c r="AY37" s="166">
        <f t="shared" si="24"/>
        <v>34235.131992515351</v>
      </c>
      <c r="AZ37" s="166">
        <f t="shared" si="24"/>
        <v>37988.087904981076</v>
      </c>
      <c r="BA37" s="166">
        <f t="shared" si="24"/>
        <v>42153.288080516031</v>
      </c>
      <c r="BB37" s="166">
        <f t="shared" si="24"/>
        <v>46776.053248129268</v>
      </c>
      <c r="BC37" s="166">
        <f t="shared" si="24"/>
        <v>51906.688240723983</v>
      </c>
      <c r="BD37" s="166">
        <f t="shared" si="24"/>
        <v>57601.030193592647</v>
      </c>
      <c r="BE37" s="166">
        <f t="shared" si="24"/>
        <v>63921.057042364366</v>
      </c>
      <c r="BF37" s="166">
        <f t="shared" si="24"/>
        <v>70935.562953237415</v>
      </c>
      <c r="BG37" s="128"/>
    </row>
    <row r="38" spans="3:59" ht="15" customHeight="1" x14ac:dyDescent="0.2">
      <c r="C38" s="319" t="s">
        <v>267</v>
      </c>
      <c r="D38" s="320"/>
      <c r="E38" s="321"/>
      <c r="F38" s="276">
        <f t="shared" ref="F38:AK38" si="25">F37*F13</f>
        <v>-2491.7210970440528</v>
      </c>
      <c r="G38" s="277">
        <f t="shared" si="25"/>
        <v>156.76110261760002</v>
      </c>
      <c r="H38" s="277">
        <f t="shared" si="25"/>
        <v>188.11332314112005</v>
      </c>
      <c r="I38" s="277">
        <f t="shared" si="25"/>
        <v>225.73598776934404</v>
      </c>
      <c r="J38" s="277">
        <f t="shared" si="25"/>
        <v>203.5307348813906</v>
      </c>
      <c r="K38" s="277">
        <f t="shared" si="25"/>
        <v>182.00262536202629</v>
      </c>
      <c r="L38" s="277">
        <f t="shared" si="25"/>
        <v>161.71979669573668</v>
      </c>
      <c r="M38" s="277">
        <f t="shared" si="25"/>
        <v>143.12080143422068</v>
      </c>
      <c r="N38" s="277">
        <f t="shared" si="25"/>
        <v>126.68465963917581</v>
      </c>
      <c r="O38" s="277">
        <f t="shared" si="25"/>
        <v>112.15605009881956</v>
      </c>
      <c r="P38" s="277">
        <f t="shared" si="25"/>
        <v>99.310392963349244</v>
      </c>
      <c r="Q38" s="277">
        <f t="shared" si="25"/>
        <v>87.950054869053631</v>
      </c>
      <c r="R38" s="277">
        <f t="shared" si="25"/>
        <v>77.901036790832805</v>
      </c>
      <c r="S38" s="277">
        <f t="shared" si="25"/>
        <v>69.010081094366157</v>
      </c>
      <c r="T38" s="277">
        <f t="shared" si="25"/>
        <v>61.142142926350282</v>
      </c>
      <c r="U38" s="277">
        <f t="shared" si="25"/>
        <v>54.178178523165471</v>
      </c>
      <c r="V38" s="277">
        <f t="shared" si="25"/>
        <v>48.013209413988463</v>
      </c>
      <c r="W38" s="277">
        <f t="shared" si="25"/>
        <v>42.554626995830816</v>
      </c>
      <c r="X38" s="277">
        <f t="shared" si="25"/>
        <v>37.720706694568527</v>
      </c>
      <c r="Y38" s="277">
        <f t="shared" si="25"/>
        <v>33.439305007795213</v>
      </c>
      <c r="Z38" s="331">
        <f t="shared" si="25"/>
        <v>29.646716246005496</v>
      </c>
      <c r="AA38" s="294">
        <f t="shared" si="25"/>
        <v>32.858336035108202</v>
      </c>
      <c r="AB38" s="294">
        <f t="shared" si="25"/>
        <v>29.136804516883288</v>
      </c>
      <c r="AC38" s="294">
        <f t="shared" si="25"/>
        <v>25.838873781395577</v>
      </c>
      <c r="AD38" s="294">
        <f t="shared" si="25"/>
        <v>22.915987103536363</v>
      </c>
      <c r="AE38" s="294">
        <f t="shared" si="25"/>
        <v>20.325208715149614</v>
      </c>
      <c r="AF38" s="294">
        <f t="shared" si="25"/>
        <v>18.028564310839851</v>
      </c>
      <c r="AG38" s="294">
        <f t="shared" si="25"/>
        <v>15.992460328439719</v>
      </c>
      <c r="AH38" s="294">
        <f t="shared" si="25"/>
        <v>14.18717237592052</v>
      </c>
      <c r="AI38" s="294">
        <f t="shared" si="25"/>
        <v>12.586394386983837</v>
      </c>
      <c r="AJ38" s="294">
        <f t="shared" si="25"/>
        <v>11.166841140792769</v>
      </c>
      <c r="AK38" s="294">
        <f t="shared" si="25"/>
        <v>9.9078976984503164</v>
      </c>
      <c r="AL38" s="294">
        <f t="shared" ref="AL38:BF38" si="26">AL37*AL13</f>
        <v>8.7913101081202996</v>
      </c>
      <c r="AM38" s="294">
        <f t="shared" si="26"/>
        <v>7.8009124277962316</v>
      </c>
      <c r="AN38" s="294">
        <f t="shared" si="26"/>
        <v>6.9223857231756529</v>
      </c>
      <c r="AO38" s="294">
        <f t="shared" si="26"/>
        <v>6.1430452295565932</v>
      </c>
      <c r="AP38" s="294">
        <f t="shared" si="26"/>
        <v>5.4516523312131042</v>
      </c>
      <c r="AQ38" s="294">
        <f t="shared" si="26"/>
        <v>4.8382484180359215</v>
      </c>
      <c r="AR38" s="294">
        <f t="shared" si="26"/>
        <v>4.2940080348759189</v>
      </c>
      <c r="AS38" s="294">
        <f t="shared" si="26"/>
        <v>3.811109050525594</v>
      </c>
      <c r="AT38" s="294">
        <f t="shared" si="26"/>
        <v>3.3826178462713576</v>
      </c>
      <c r="AU38" s="294">
        <f t="shared" si="26"/>
        <v>3.0023877633512361</v>
      </c>
      <c r="AV38" s="294">
        <f t="shared" si="26"/>
        <v>2.6649692587167566</v>
      </c>
      <c r="AW38" s="294">
        <f t="shared" si="26"/>
        <v>2.3655304029241573</v>
      </c>
      <c r="AX38" s="294">
        <f t="shared" si="26"/>
        <v>2.0997865159862066</v>
      </c>
      <c r="AY38" s="294">
        <f t="shared" si="26"/>
        <v>1.8639378794022188</v>
      </c>
      <c r="AZ38" s="294">
        <f t="shared" si="26"/>
        <v>1.6546145877897773</v>
      </c>
      <c r="BA38" s="294">
        <f t="shared" si="26"/>
        <v>1.4688277136935095</v>
      </c>
      <c r="BB38" s="294">
        <f t="shared" si="26"/>
        <v>1.3039260560992894</v>
      </c>
      <c r="BC38" s="294">
        <f t="shared" si="26"/>
        <v>1.1575578285559514</v>
      </c>
      <c r="BD38" s="294">
        <f t="shared" si="26"/>
        <v>1.027636718016143</v>
      </c>
      <c r="BE38" s="294">
        <f t="shared" si="26"/>
        <v>0.91231181179040577</v>
      </c>
      <c r="BF38" s="294">
        <f t="shared" si="26"/>
        <v>0.8099409484464517</v>
      </c>
      <c r="BG38" s="128"/>
    </row>
    <row r="39" spans="3:59" ht="15" customHeight="1" x14ac:dyDescent="0.2">
      <c r="C39" s="322"/>
      <c r="D39" s="323"/>
      <c r="E39" s="324"/>
      <c r="F39" s="276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7"/>
      <c r="R39" s="277"/>
      <c r="S39" s="277"/>
      <c r="T39" s="277"/>
      <c r="U39" s="277"/>
      <c r="V39" s="277"/>
      <c r="W39" s="277"/>
      <c r="X39" s="277"/>
      <c r="Y39" s="277"/>
      <c r="Z39" s="331"/>
      <c r="AA39" s="294"/>
      <c r="AB39" s="294"/>
      <c r="AC39" s="294"/>
      <c r="AD39" s="294"/>
      <c r="AE39" s="294"/>
      <c r="AF39" s="294"/>
      <c r="AG39" s="294"/>
      <c r="AH39" s="294"/>
      <c r="AI39" s="294"/>
      <c r="AJ39" s="294"/>
      <c r="AK39" s="294"/>
      <c r="AL39" s="294"/>
      <c r="AM39" s="294"/>
      <c r="AN39" s="294"/>
      <c r="AO39" s="294"/>
      <c r="AP39" s="294"/>
      <c r="AQ39" s="294"/>
      <c r="AR39" s="294"/>
      <c r="AS39" s="294"/>
      <c r="AT39" s="294"/>
      <c r="AU39" s="294"/>
      <c r="AV39" s="294"/>
      <c r="AW39" s="294"/>
      <c r="AX39" s="294"/>
      <c r="AY39" s="294"/>
      <c r="AZ39" s="294"/>
      <c r="BA39" s="294"/>
      <c r="BB39" s="294"/>
      <c r="BC39" s="294"/>
      <c r="BD39" s="294"/>
      <c r="BE39" s="294"/>
      <c r="BF39" s="294"/>
      <c r="BG39" s="128"/>
    </row>
    <row r="40" spans="3:59" ht="15" customHeight="1" x14ac:dyDescent="0.2">
      <c r="C40" s="278" t="s">
        <v>266</v>
      </c>
      <c r="D40" s="279"/>
      <c r="E40" s="280"/>
      <c r="F40" s="299">
        <f>F38</f>
        <v>-2491.7210970440528</v>
      </c>
      <c r="G40" s="300">
        <f t="shared" ref="G40:AL40" si="27">F40+G38</f>
        <v>-2334.9599944264528</v>
      </c>
      <c r="H40" s="300">
        <f t="shared" si="27"/>
        <v>-2146.8466712853328</v>
      </c>
      <c r="I40" s="300">
        <f t="shared" si="27"/>
        <v>-1921.1106835159887</v>
      </c>
      <c r="J40" s="300">
        <f t="shared" si="27"/>
        <v>-1717.5799486345982</v>
      </c>
      <c r="K40" s="300">
        <f t="shared" si="27"/>
        <v>-1535.5773232725719</v>
      </c>
      <c r="L40" s="300">
        <f t="shared" si="27"/>
        <v>-1373.8575265768352</v>
      </c>
      <c r="M40" s="300">
        <f t="shared" si="27"/>
        <v>-1230.7367251426144</v>
      </c>
      <c r="N40" s="300">
        <f t="shared" si="27"/>
        <v>-1104.0520655034386</v>
      </c>
      <c r="O40" s="300">
        <f t="shared" si="27"/>
        <v>-991.89601540461899</v>
      </c>
      <c r="P40" s="300">
        <f t="shared" si="27"/>
        <v>-892.58562244126972</v>
      </c>
      <c r="Q40" s="300">
        <f t="shared" si="27"/>
        <v>-804.63556757221613</v>
      </c>
      <c r="R40" s="300">
        <f t="shared" si="27"/>
        <v>-726.73453078138334</v>
      </c>
      <c r="S40" s="300">
        <f t="shared" si="27"/>
        <v>-657.72444968701723</v>
      </c>
      <c r="T40" s="300">
        <f t="shared" si="27"/>
        <v>-596.58230676066694</v>
      </c>
      <c r="U40" s="300">
        <f t="shared" si="27"/>
        <v>-542.40412823750148</v>
      </c>
      <c r="V40" s="300">
        <f t="shared" si="27"/>
        <v>-494.390918823513</v>
      </c>
      <c r="W40" s="300">
        <f t="shared" si="27"/>
        <v>-451.8362918276822</v>
      </c>
      <c r="X40" s="300">
        <f t="shared" si="27"/>
        <v>-414.11558513311365</v>
      </c>
      <c r="Y40" s="300">
        <f t="shared" si="27"/>
        <v>-380.67628012531844</v>
      </c>
      <c r="Z40" s="332">
        <f t="shared" si="27"/>
        <v>-351.02956387931295</v>
      </c>
      <c r="AA40" s="307">
        <f t="shared" si="27"/>
        <v>-318.17122784420474</v>
      </c>
      <c r="AB40" s="307">
        <f t="shared" si="27"/>
        <v>-289.03442332732146</v>
      </c>
      <c r="AC40" s="307">
        <f t="shared" si="27"/>
        <v>-263.19554954592587</v>
      </c>
      <c r="AD40" s="307">
        <f t="shared" si="27"/>
        <v>-240.2795624423895</v>
      </c>
      <c r="AE40" s="307">
        <f t="shared" si="27"/>
        <v>-219.95435372723989</v>
      </c>
      <c r="AF40" s="307">
        <f t="shared" si="27"/>
        <v>-201.92578941640005</v>
      </c>
      <c r="AG40" s="307">
        <f t="shared" si="27"/>
        <v>-185.93332908796032</v>
      </c>
      <c r="AH40" s="307">
        <f t="shared" si="27"/>
        <v>-171.74615671203981</v>
      </c>
      <c r="AI40" s="307">
        <f t="shared" si="27"/>
        <v>-159.15976232505596</v>
      </c>
      <c r="AJ40" s="307">
        <f t="shared" si="27"/>
        <v>-147.9929211842632</v>
      </c>
      <c r="AK40" s="307">
        <f t="shared" si="27"/>
        <v>-138.08502348581288</v>
      </c>
      <c r="AL40" s="307">
        <f t="shared" si="27"/>
        <v>-129.2937133776926</v>
      </c>
      <c r="AM40" s="307">
        <f t="shared" ref="AM40:BF40" si="28">AL40+AM38</f>
        <v>-121.49280094989636</v>
      </c>
      <c r="AN40" s="307">
        <f t="shared" si="28"/>
        <v>-114.57041522672071</v>
      </c>
      <c r="AO40" s="307">
        <f t="shared" si="28"/>
        <v>-108.42736999716412</v>
      </c>
      <c r="AP40" s="307">
        <f t="shared" si="28"/>
        <v>-102.97571766595101</v>
      </c>
      <c r="AQ40" s="307">
        <f t="shared" si="28"/>
        <v>-98.137469247915092</v>
      </c>
      <c r="AR40" s="307">
        <f t="shared" si="28"/>
        <v>-93.843461213039177</v>
      </c>
      <c r="AS40" s="307">
        <f t="shared" si="28"/>
        <v>-90.03235216251359</v>
      </c>
      <c r="AT40" s="307">
        <f t="shared" si="28"/>
        <v>-86.649734316242231</v>
      </c>
      <c r="AU40" s="307">
        <f t="shared" si="28"/>
        <v>-83.647346552890994</v>
      </c>
      <c r="AV40" s="307">
        <f t="shared" si="28"/>
        <v>-80.982377294174242</v>
      </c>
      <c r="AW40" s="307">
        <f t="shared" si="28"/>
        <v>-78.616846891250091</v>
      </c>
      <c r="AX40" s="307">
        <f t="shared" si="28"/>
        <v>-76.517060375263881</v>
      </c>
      <c r="AY40" s="307">
        <f t="shared" si="28"/>
        <v>-74.653122495861666</v>
      </c>
      <c r="AZ40" s="307">
        <f t="shared" si="28"/>
        <v>-72.998507908071886</v>
      </c>
      <c r="BA40" s="307">
        <f t="shared" si="28"/>
        <v>-71.529680194378372</v>
      </c>
      <c r="BB40" s="307">
        <f t="shared" si="28"/>
        <v>-70.225754138279086</v>
      </c>
      <c r="BC40" s="307">
        <f t="shared" si="28"/>
        <v>-69.068196309723135</v>
      </c>
      <c r="BD40" s="307">
        <f t="shared" si="28"/>
        <v>-68.040559591706995</v>
      </c>
      <c r="BE40" s="307">
        <f t="shared" si="28"/>
        <v>-67.128247779916592</v>
      </c>
      <c r="BF40" s="307">
        <f t="shared" si="28"/>
        <v>-66.318306831470139</v>
      </c>
      <c r="BG40" s="128"/>
    </row>
    <row r="41" spans="3:59" ht="15" customHeight="1" x14ac:dyDescent="0.2">
      <c r="C41" s="281"/>
      <c r="D41" s="282"/>
      <c r="E41" s="283"/>
      <c r="F41" s="328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8"/>
      <c r="AA41" s="307"/>
      <c r="AB41" s="307"/>
      <c r="AC41" s="307"/>
      <c r="AD41" s="307"/>
      <c r="AE41" s="307"/>
      <c r="AF41" s="307"/>
      <c r="AG41" s="307"/>
      <c r="AH41" s="307"/>
      <c r="AI41" s="307"/>
      <c r="AJ41" s="307"/>
      <c r="AK41" s="307"/>
      <c r="AL41" s="307"/>
      <c r="AM41" s="307"/>
      <c r="AN41" s="307"/>
      <c r="AO41" s="307"/>
      <c r="AP41" s="307"/>
      <c r="AQ41" s="307"/>
      <c r="AR41" s="307"/>
      <c r="AS41" s="307"/>
      <c r="AT41" s="307"/>
      <c r="AU41" s="307"/>
      <c r="AV41" s="307"/>
      <c r="AW41" s="307"/>
      <c r="AX41" s="307"/>
      <c r="AY41" s="307"/>
      <c r="AZ41" s="307"/>
      <c r="BA41" s="307"/>
      <c r="BB41" s="307"/>
      <c r="BC41" s="307"/>
      <c r="BD41" s="307"/>
      <c r="BE41" s="307"/>
      <c r="BF41" s="307"/>
      <c r="BG41" s="128"/>
    </row>
    <row r="42" spans="3:59" ht="15" customHeight="1" thickBot="1" x14ac:dyDescent="0.25">
      <c r="C42" s="325"/>
      <c r="D42" s="326"/>
      <c r="E42" s="327"/>
      <c r="F42" s="329"/>
      <c r="G42" s="330"/>
      <c r="H42" s="330"/>
      <c r="I42" s="330"/>
      <c r="J42" s="330"/>
      <c r="K42" s="330"/>
      <c r="L42" s="330"/>
      <c r="M42" s="330"/>
      <c r="N42" s="330"/>
      <c r="O42" s="330"/>
      <c r="P42" s="330"/>
      <c r="Q42" s="330"/>
      <c r="R42" s="330"/>
      <c r="S42" s="330"/>
      <c r="T42" s="330"/>
      <c r="U42" s="330"/>
      <c r="V42" s="330"/>
      <c r="W42" s="330"/>
      <c r="X42" s="330"/>
      <c r="Y42" s="330"/>
      <c r="Z42" s="333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  <c r="AK42" s="307"/>
      <c r="AL42" s="307"/>
      <c r="AM42" s="307"/>
      <c r="AN42" s="307"/>
      <c r="AO42" s="307"/>
      <c r="AP42" s="307"/>
      <c r="AQ42" s="307"/>
      <c r="AR42" s="307"/>
      <c r="AS42" s="307"/>
      <c r="AT42" s="307"/>
      <c r="AU42" s="307"/>
      <c r="AV42" s="307"/>
      <c r="AW42" s="307"/>
      <c r="AX42" s="307"/>
      <c r="AY42" s="307"/>
      <c r="AZ42" s="307"/>
      <c r="BA42" s="307"/>
      <c r="BB42" s="307"/>
      <c r="BC42" s="307"/>
      <c r="BD42" s="307"/>
      <c r="BE42" s="307"/>
      <c r="BF42" s="307"/>
      <c r="BG42" s="128"/>
    </row>
    <row r="43" spans="3:59" ht="15" hidden="1" customHeight="1" x14ac:dyDescent="0.2">
      <c r="C43" s="171"/>
      <c r="D43" s="171"/>
      <c r="E43" s="171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2"/>
      <c r="BD43" s="172"/>
      <c r="BE43" s="172"/>
      <c r="BF43" s="172"/>
      <c r="BG43" s="128"/>
    </row>
    <row r="44" spans="3:59" ht="15" hidden="1" customHeight="1" x14ac:dyDescent="0.2">
      <c r="C44" s="173" t="s">
        <v>265</v>
      </c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</row>
    <row r="45" spans="3:59" ht="15" hidden="1" customHeight="1" x14ac:dyDescent="0.2">
      <c r="G45" s="174">
        <f t="shared" ref="G45:AL45" si="29">IF(AND(G40&gt;0,F40&lt;0),1,IF(AND(G40&gt;0,F40&gt;0),2,0))</f>
        <v>0</v>
      </c>
      <c r="H45" s="175">
        <f t="shared" si="29"/>
        <v>0</v>
      </c>
      <c r="I45" s="175">
        <f t="shared" si="29"/>
        <v>0</v>
      </c>
      <c r="J45" s="175">
        <f t="shared" si="29"/>
        <v>0</v>
      </c>
      <c r="K45" s="175">
        <f t="shared" si="29"/>
        <v>0</v>
      </c>
      <c r="L45" s="175">
        <f t="shared" si="29"/>
        <v>0</v>
      </c>
      <c r="M45" s="175">
        <f t="shared" si="29"/>
        <v>0</v>
      </c>
      <c r="N45" s="175">
        <f t="shared" si="29"/>
        <v>0</v>
      </c>
      <c r="O45" s="175">
        <f t="shared" si="29"/>
        <v>0</v>
      </c>
      <c r="P45" s="175">
        <f t="shared" si="29"/>
        <v>0</v>
      </c>
      <c r="Q45" s="175">
        <f t="shared" si="29"/>
        <v>0</v>
      </c>
      <c r="R45" s="175">
        <f t="shared" si="29"/>
        <v>0</v>
      </c>
      <c r="S45" s="175">
        <f t="shared" si="29"/>
        <v>0</v>
      </c>
      <c r="T45" s="175">
        <f t="shared" si="29"/>
        <v>0</v>
      </c>
      <c r="U45" s="175">
        <f t="shared" si="29"/>
        <v>0</v>
      </c>
      <c r="V45" s="175">
        <f t="shared" si="29"/>
        <v>0</v>
      </c>
      <c r="W45" s="175">
        <f t="shared" si="29"/>
        <v>0</v>
      </c>
      <c r="X45" s="175">
        <f t="shared" si="29"/>
        <v>0</v>
      </c>
      <c r="Y45" s="175">
        <f t="shared" si="29"/>
        <v>0</v>
      </c>
      <c r="Z45" s="176">
        <f t="shared" si="29"/>
        <v>0</v>
      </c>
      <c r="AA45" s="128">
        <f t="shared" si="29"/>
        <v>0</v>
      </c>
      <c r="AB45" s="128">
        <f t="shared" si="29"/>
        <v>0</v>
      </c>
      <c r="AC45" s="128">
        <f t="shared" si="29"/>
        <v>0</v>
      </c>
      <c r="AD45" s="128">
        <f t="shared" si="29"/>
        <v>0</v>
      </c>
      <c r="AE45" s="128">
        <f t="shared" si="29"/>
        <v>0</v>
      </c>
      <c r="AF45" s="128">
        <f t="shared" si="29"/>
        <v>0</v>
      </c>
      <c r="AG45" s="128">
        <f t="shared" si="29"/>
        <v>0</v>
      </c>
      <c r="AH45" s="128">
        <f t="shared" si="29"/>
        <v>0</v>
      </c>
      <c r="AI45" s="128">
        <f t="shared" si="29"/>
        <v>0</v>
      </c>
      <c r="AJ45" s="128">
        <f t="shared" si="29"/>
        <v>0</v>
      </c>
      <c r="AK45" s="128">
        <f t="shared" si="29"/>
        <v>0</v>
      </c>
      <c r="AL45" s="128">
        <f t="shared" si="29"/>
        <v>0</v>
      </c>
      <c r="AM45" s="128">
        <f t="shared" ref="AM45:BF45" si="30">IF(AND(AM40&gt;0,AL40&lt;0),1,IF(AND(AM40&gt;0,AL40&gt;0),2,0))</f>
        <v>0</v>
      </c>
      <c r="AN45" s="128">
        <f t="shared" si="30"/>
        <v>0</v>
      </c>
      <c r="AO45" s="128">
        <f t="shared" si="30"/>
        <v>0</v>
      </c>
      <c r="AP45" s="128">
        <f t="shared" si="30"/>
        <v>0</v>
      </c>
      <c r="AQ45" s="128">
        <f t="shared" si="30"/>
        <v>0</v>
      </c>
      <c r="AR45" s="128">
        <f t="shared" si="30"/>
        <v>0</v>
      </c>
      <c r="AS45" s="128">
        <f t="shared" si="30"/>
        <v>0</v>
      </c>
      <c r="AT45" s="128">
        <f t="shared" si="30"/>
        <v>0</v>
      </c>
      <c r="AU45" s="128">
        <f t="shared" si="30"/>
        <v>0</v>
      </c>
      <c r="AV45" s="128">
        <f t="shared" si="30"/>
        <v>0</v>
      </c>
      <c r="AW45" s="128">
        <f t="shared" si="30"/>
        <v>0</v>
      </c>
      <c r="AX45" s="128">
        <f t="shared" si="30"/>
        <v>0</v>
      </c>
      <c r="AY45" s="128">
        <f t="shared" si="30"/>
        <v>0</v>
      </c>
      <c r="AZ45" s="128">
        <f t="shared" si="30"/>
        <v>0</v>
      </c>
      <c r="BA45" s="128">
        <f t="shared" si="30"/>
        <v>0</v>
      </c>
      <c r="BB45" s="128">
        <f t="shared" si="30"/>
        <v>0</v>
      </c>
      <c r="BC45" s="128">
        <f t="shared" si="30"/>
        <v>0</v>
      </c>
      <c r="BD45" s="128">
        <f t="shared" si="30"/>
        <v>0</v>
      </c>
      <c r="BE45" s="128">
        <f t="shared" si="30"/>
        <v>0</v>
      </c>
      <c r="BF45" s="128">
        <f t="shared" si="30"/>
        <v>0</v>
      </c>
      <c r="BG45" s="128"/>
    </row>
    <row r="46" spans="3:59" ht="15" hidden="1" customHeight="1" x14ac:dyDescent="0.2">
      <c r="G46" s="177">
        <f t="shared" ref="G46:AL46" si="31">-F40/G38</f>
        <v>15.895021503659034</v>
      </c>
      <c r="H46" s="175">
        <f t="shared" si="31"/>
        <v>12.41251791971586</v>
      </c>
      <c r="I46" s="175">
        <f t="shared" si="31"/>
        <v>9.5104315997632174</v>
      </c>
      <c r="J46" s="175">
        <f t="shared" si="31"/>
        <v>9.4389217659707931</v>
      </c>
      <c r="K46" s="175">
        <f t="shared" si="31"/>
        <v>9.4371163339985564</v>
      </c>
      <c r="L46" s="175">
        <f t="shared" si="31"/>
        <v>9.4952959046915097</v>
      </c>
      <c r="M46" s="175">
        <f t="shared" si="31"/>
        <v>9.5992861471521991</v>
      </c>
      <c r="N46" s="175">
        <f t="shared" si="31"/>
        <v>9.7149625585923971</v>
      </c>
      <c r="O46" s="175">
        <f t="shared" si="31"/>
        <v>9.843892188880309</v>
      </c>
      <c r="P46" s="175">
        <f t="shared" si="31"/>
        <v>9.9878369806741247</v>
      </c>
      <c r="Q46" s="175">
        <f t="shared" si="31"/>
        <v>10.148778460345651</v>
      </c>
      <c r="R46" s="175">
        <f t="shared" si="31"/>
        <v>10.328945553480793</v>
      </c>
      <c r="S46" s="175">
        <f t="shared" si="31"/>
        <v>10.530845917825076</v>
      </c>
      <c r="T46" s="175">
        <f t="shared" si="31"/>
        <v>10.757301236224079</v>
      </c>
      <c r="U46" s="175">
        <f t="shared" si="31"/>
        <v>11.011486968052656</v>
      </c>
      <c r="V46" s="175">
        <f t="shared" si="31"/>
        <v>11.296977120622854</v>
      </c>
      <c r="W46" s="175">
        <f t="shared" si="31"/>
        <v>11.617794672996423</v>
      </c>
      <c r="X46" s="175">
        <f t="shared" si="31"/>
        <v>11.978468364505561</v>
      </c>
      <c r="Y46" s="175">
        <f t="shared" si="31"/>
        <v>12.384096650231726</v>
      </c>
      <c r="Z46" s="176">
        <f t="shared" si="31"/>
        <v>12.840419726977673</v>
      </c>
      <c r="AA46" s="128">
        <f t="shared" si="31"/>
        <v>10.683120517857258</v>
      </c>
      <c r="AB46" s="128">
        <f t="shared" si="31"/>
        <v>10.919908106595587</v>
      </c>
      <c r="AC46" s="128">
        <f t="shared" si="31"/>
        <v>11.186030233849863</v>
      </c>
      <c r="AD46" s="128">
        <f t="shared" si="31"/>
        <v>11.485237286824528</v>
      </c>
      <c r="AE46" s="128">
        <f t="shared" si="31"/>
        <v>11.821751294651873</v>
      </c>
      <c r="AF46" s="128">
        <f t="shared" si="31"/>
        <v>12.200325546443549</v>
      </c>
      <c r="AG46" s="128">
        <f t="shared" si="31"/>
        <v>12.626311728740779</v>
      </c>
      <c r="AH46" s="128">
        <f t="shared" si="31"/>
        <v>13.105735530748863</v>
      </c>
      <c r="AI46" s="128">
        <f t="shared" si="31"/>
        <v>13.645381785402364</v>
      </c>
      <c r="AJ46" s="128">
        <f t="shared" si="31"/>
        <v>14.252890349056825</v>
      </c>
      <c r="AK46" s="128">
        <f t="shared" si="31"/>
        <v>14.936864074344511</v>
      </c>
      <c r="AL46" s="128">
        <f t="shared" si="31"/>
        <v>15.706990401608904</v>
      </c>
      <c r="AM46" s="128">
        <f t="shared" ref="AM46:BF46" si="32">-AL40/AM38</f>
        <v>16.574178286759494</v>
      </c>
      <c r="AN46" s="128">
        <f t="shared" si="32"/>
        <v>17.550712400082986</v>
      </c>
      <c r="AO46" s="128">
        <f t="shared" si="32"/>
        <v>18.650426774570636</v>
      </c>
      <c r="AP46" s="128">
        <f t="shared" si="32"/>
        <v>19.888900357121052</v>
      </c>
      <c r="AQ46" s="128">
        <f t="shared" si="32"/>
        <v>21.283677225435611</v>
      </c>
      <c r="AR46" s="128">
        <f t="shared" si="32"/>
        <v>22.854514581911094</v>
      </c>
      <c r="AS46" s="128">
        <f t="shared" si="32"/>
        <v>24.623662028274193</v>
      </c>
      <c r="AT46" s="128">
        <f t="shared" si="32"/>
        <v>26.616176066638978</v>
      </c>
      <c r="AU46" s="128">
        <f t="shared" si="32"/>
        <v>28.860274270344295</v>
      </c>
      <c r="AV46" s="128">
        <f t="shared" si="32"/>
        <v>31.387734128373811</v>
      </c>
      <c r="AW46" s="128">
        <f t="shared" si="32"/>
        <v>34.234342198294151</v>
      </c>
      <c r="AX46" s="128">
        <f t="shared" si="32"/>
        <v>37.440399913381732</v>
      </c>
      <c r="AY46" s="128">
        <f t="shared" si="32"/>
        <v>41.051293189987412</v>
      </c>
      <c r="AZ46" s="128">
        <f t="shared" si="32"/>
        <v>45.118133882515075</v>
      </c>
      <c r="BA46" s="128">
        <f t="shared" si="32"/>
        <v>49.698482148399876</v>
      </c>
      <c r="BB46" s="128">
        <f t="shared" si="32"/>
        <v>54.857159928501069</v>
      </c>
      <c r="BC46" s="128">
        <f t="shared" si="32"/>
        <v>60.667167035521175</v>
      </c>
      <c r="BD46" s="128">
        <f t="shared" si="32"/>
        <v>67.210712792609797</v>
      </c>
      <c r="BE46" s="128">
        <f t="shared" si="32"/>
        <v>74.580377796685383</v>
      </c>
      <c r="BF46" s="128">
        <f t="shared" si="32"/>
        <v>82.880422219268368</v>
      </c>
      <c r="BG46" s="128"/>
    </row>
    <row r="47" spans="3:59" ht="15" hidden="1" customHeight="1" x14ac:dyDescent="0.2">
      <c r="G47" s="174">
        <f>COUNTIF(G45:BF45,0)</f>
        <v>52</v>
      </c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6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</row>
    <row r="48" spans="3:59" ht="15" hidden="1" customHeight="1" x14ac:dyDescent="0.2">
      <c r="G48" s="177">
        <f t="shared" ref="G48:AL48" si="33">IF(G45=1,G46,0)</f>
        <v>0</v>
      </c>
      <c r="H48" s="177">
        <f t="shared" si="33"/>
        <v>0</v>
      </c>
      <c r="I48" s="177">
        <f t="shared" si="33"/>
        <v>0</v>
      </c>
      <c r="J48" s="177">
        <f t="shared" si="33"/>
        <v>0</v>
      </c>
      <c r="K48" s="177">
        <f t="shared" si="33"/>
        <v>0</v>
      </c>
      <c r="L48" s="177">
        <f t="shared" si="33"/>
        <v>0</v>
      </c>
      <c r="M48" s="177">
        <f t="shared" si="33"/>
        <v>0</v>
      </c>
      <c r="N48" s="177">
        <f t="shared" si="33"/>
        <v>0</v>
      </c>
      <c r="O48" s="177">
        <f t="shared" si="33"/>
        <v>0</v>
      </c>
      <c r="P48" s="177">
        <f t="shared" si="33"/>
        <v>0</v>
      </c>
      <c r="Q48" s="177">
        <f t="shared" si="33"/>
        <v>0</v>
      </c>
      <c r="R48" s="177">
        <f t="shared" si="33"/>
        <v>0</v>
      </c>
      <c r="S48" s="177">
        <f t="shared" si="33"/>
        <v>0</v>
      </c>
      <c r="T48" s="177">
        <f t="shared" si="33"/>
        <v>0</v>
      </c>
      <c r="U48" s="177">
        <f t="shared" si="33"/>
        <v>0</v>
      </c>
      <c r="V48" s="177">
        <f t="shared" si="33"/>
        <v>0</v>
      </c>
      <c r="W48" s="177">
        <f t="shared" si="33"/>
        <v>0</v>
      </c>
      <c r="X48" s="177">
        <f t="shared" si="33"/>
        <v>0</v>
      </c>
      <c r="Y48" s="177">
        <f t="shared" si="33"/>
        <v>0</v>
      </c>
      <c r="Z48" s="178">
        <f t="shared" si="33"/>
        <v>0</v>
      </c>
      <c r="AA48" s="179">
        <f t="shared" si="33"/>
        <v>0</v>
      </c>
      <c r="AB48" s="179">
        <f t="shared" si="33"/>
        <v>0</v>
      </c>
      <c r="AC48" s="179">
        <f t="shared" si="33"/>
        <v>0</v>
      </c>
      <c r="AD48" s="179">
        <f t="shared" si="33"/>
        <v>0</v>
      </c>
      <c r="AE48" s="179">
        <f t="shared" si="33"/>
        <v>0</v>
      </c>
      <c r="AF48" s="179">
        <f t="shared" si="33"/>
        <v>0</v>
      </c>
      <c r="AG48" s="179">
        <f t="shared" si="33"/>
        <v>0</v>
      </c>
      <c r="AH48" s="179">
        <f t="shared" si="33"/>
        <v>0</v>
      </c>
      <c r="AI48" s="179">
        <f t="shared" si="33"/>
        <v>0</v>
      </c>
      <c r="AJ48" s="179">
        <f t="shared" si="33"/>
        <v>0</v>
      </c>
      <c r="AK48" s="179">
        <f t="shared" si="33"/>
        <v>0</v>
      </c>
      <c r="AL48" s="179">
        <f t="shared" si="33"/>
        <v>0</v>
      </c>
      <c r="AM48" s="179">
        <f t="shared" ref="AM48:BF48" si="34">IF(AM45=1,AM46,0)</f>
        <v>0</v>
      </c>
      <c r="AN48" s="179">
        <f t="shared" si="34"/>
        <v>0</v>
      </c>
      <c r="AO48" s="179">
        <f t="shared" si="34"/>
        <v>0</v>
      </c>
      <c r="AP48" s="179">
        <f t="shared" si="34"/>
        <v>0</v>
      </c>
      <c r="AQ48" s="179">
        <f t="shared" si="34"/>
        <v>0</v>
      </c>
      <c r="AR48" s="179">
        <f t="shared" si="34"/>
        <v>0</v>
      </c>
      <c r="AS48" s="179">
        <f t="shared" si="34"/>
        <v>0</v>
      </c>
      <c r="AT48" s="179">
        <f t="shared" si="34"/>
        <v>0</v>
      </c>
      <c r="AU48" s="179">
        <f t="shared" si="34"/>
        <v>0</v>
      </c>
      <c r="AV48" s="179">
        <f t="shared" si="34"/>
        <v>0</v>
      </c>
      <c r="AW48" s="179">
        <f t="shared" si="34"/>
        <v>0</v>
      </c>
      <c r="AX48" s="179">
        <f t="shared" si="34"/>
        <v>0</v>
      </c>
      <c r="AY48" s="179">
        <f t="shared" si="34"/>
        <v>0</v>
      </c>
      <c r="AZ48" s="179">
        <f t="shared" si="34"/>
        <v>0</v>
      </c>
      <c r="BA48" s="179">
        <f t="shared" si="34"/>
        <v>0</v>
      </c>
      <c r="BB48" s="179">
        <f t="shared" si="34"/>
        <v>0</v>
      </c>
      <c r="BC48" s="179">
        <f t="shared" si="34"/>
        <v>0</v>
      </c>
      <c r="BD48" s="179">
        <f t="shared" si="34"/>
        <v>0</v>
      </c>
      <c r="BE48" s="179">
        <f t="shared" si="34"/>
        <v>0</v>
      </c>
      <c r="BF48" s="179">
        <f t="shared" si="34"/>
        <v>0</v>
      </c>
      <c r="BG48" s="128"/>
    </row>
    <row r="49" spans="3:59" ht="15" hidden="1" customHeight="1" x14ac:dyDescent="0.2"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</row>
    <row r="50" spans="3:59" ht="15" hidden="1" customHeight="1" x14ac:dyDescent="0.2">
      <c r="C50" s="173" t="s">
        <v>264</v>
      </c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</row>
    <row r="51" spans="3:59" ht="15" hidden="1" customHeight="1" x14ac:dyDescent="0.2">
      <c r="C51" s="342" t="s">
        <v>263</v>
      </c>
      <c r="D51" s="342"/>
      <c r="E51" s="342"/>
      <c r="F51" s="177">
        <f t="shared" ref="F51:AK51" si="35">(SUM(F34)+SUM(F36))*F13</f>
        <v>0</v>
      </c>
      <c r="G51" s="177">
        <f t="shared" si="35"/>
        <v>156.76110261760002</v>
      </c>
      <c r="H51" s="177">
        <f t="shared" si="35"/>
        <v>188.11332314112005</v>
      </c>
      <c r="I51" s="177">
        <f t="shared" si="35"/>
        <v>225.73598776934404</v>
      </c>
      <c r="J51" s="177">
        <f t="shared" si="35"/>
        <v>203.5307348813906</v>
      </c>
      <c r="K51" s="177">
        <f t="shared" si="35"/>
        <v>182.00262536202629</v>
      </c>
      <c r="L51" s="177">
        <f t="shared" si="35"/>
        <v>161.71979669573668</v>
      </c>
      <c r="M51" s="177">
        <f t="shared" si="35"/>
        <v>143.12080143422068</v>
      </c>
      <c r="N51" s="177">
        <f t="shared" si="35"/>
        <v>126.68465963917581</v>
      </c>
      <c r="O51" s="177">
        <f t="shared" si="35"/>
        <v>112.15605009881956</v>
      </c>
      <c r="P51" s="177">
        <f t="shared" si="35"/>
        <v>99.310392963349244</v>
      </c>
      <c r="Q51" s="177">
        <f t="shared" si="35"/>
        <v>87.950054869053631</v>
      </c>
      <c r="R51" s="177">
        <f t="shared" si="35"/>
        <v>77.901036790832805</v>
      </c>
      <c r="S51" s="177">
        <f t="shared" si="35"/>
        <v>69.010081094366157</v>
      </c>
      <c r="T51" s="177">
        <f t="shared" si="35"/>
        <v>61.142142926350282</v>
      </c>
      <c r="U51" s="177">
        <f t="shared" si="35"/>
        <v>54.178178523165471</v>
      </c>
      <c r="V51" s="177">
        <f t="shared" si="35"/>
        <v>48.013209413988463</v>
      </c>
      <c r="W51" s="177">
        <f t="shared" si="35"/>
        <v>42.554626995830816</v>
      </c>
      <c r="X51" s="177">
        <f t="shared" si="35"/>
        <v>37.720706694568527</v>
      </c>
      <c r="Y51" s="177">
        <f t="shared" si="35"/>
        <v>33.439305007795213</v>
      </c>
      <c r="Z51" s="178">
        <f t="shared" si="35"/>
        <v>29.646716246005496</v>
      </c>
      <c r="AA51" s="179">
        <f t="shared" si="35"/>
        <v>32.858336035108202</v>
      </c>
      <c r="AB51" s="179">
        <f t="shared" si="35"/>
        <v>29.136804516883288</v>
      </c>
      <c r="AC51" s="179">
        <f t="shared" si="35"/>
        <v>25.838873781395577</v>
      </c>
      <c r="AD51" s="179">
        <f t="shared" si="35"/>
        <v>22.915987103536363</v>
      </c>
      <c r="AE51" s="179">
        <f t="shared" si="35"/>
        <v>20.325208715149614</v>
      </c>
      <c r="AF51" s="179">
        <f t="shared" si="35"/>
        <v>18.028564310839851</v>
      </c>
      <c r="AG51" s="179">
        <f t="shared" si="35"/>
        <v>15.992460328439719</v>
      </c>
      <c r="AH51" s="179">
        <f t="shared" si="35"/>
        <v>14.18717237592052</v>
      </c>
      <c r="AI51" s="179">
        <f t="shared" si="35"/>
        <v>12.586394386983837</v>
      </c>
      <c r="AJ51" s="179">
        <f t="shared" si="35"/>
        <v>11.166841140792769</v>
      </c>
      <c r="AK51" s="179">
        <f t="shared" si="35"/>
        <v>9.9078976984503164</v>
      </c>
      <c r="AL51" s="179">
        <f t="shared" ref="AL51:BF51" si="36">(SUM(AL34)+SUM(AL36))*AL13</f>
        <v>8.7913101081202996</v>
      </c>
      <c r="AM51" s="179">
        <f t="shared" si="36"/>
        <v>7.8009124277962316</v>
      </c>
      <c r="AN51" s="179">
        <f t="shared" si="36"/>
        <v>6.9223857231756529</v>
      </c>
      <c r="AO51" s="179">
        <f t="shared" si="36"/>
        <v>6.1430452295565932</v>
      </c>
      <c r="AP51" s="179">
        <f t="shared" si="36"/>
        <v>5.4516523312131042</v>
      </c>
      <c r="AQ51" s="179">
        <f t="shared" si="36"/>
        <v>4.8382484180359215</v>
      </c>
      <c r="AR51" s="179">
        <f t="shared" si="36"/>
        <v>4.2940080348759189</v>
      </c>
      <c r="AS51" s="179">
        <f t="shared" si="36"/>
        <v>3.811109050525594</v>
      </c>
      <c r="AT51" s="179">
        <f t="shared" si="36"/>
        <v>3.3826178462713576</v>
      </c>
      <c r="AU51" s="179">
        <f t="shared" si="36"/>
        <v>3.0023877633512361</v>
      </c>
      <c r="AV51" s="179">
        <f t="shared" si="36"/>
        <v>2.6649692587167566</v>
      </c>
      <c r="AW51" s="179">
        <f t="shared" si="36"/>
        <v>2.3655304029241573</v>
      </c>
      <c r="AX51" s="179">
        <f t="shared" si="36"/>
        <v>2.0997865159862066</v>
      </c>
      <c r="AY51" s="179">
        <f t="shared" si="36"/>
        <v>1.8639378794022188</v>
      </c>
      <c r="AZ51" s="179">
        <f t="shared" si="36"/>
        <v>1.6546145877897773</v>
      </c>
      <c r="BA51" s="179">
        <f t="shared" si="36"/>
        <v>1.4688277136935095</v>
      </c>
      <c r="BB51" s="179">
        <f t="shared" si="36"/>
        <v>1.3039260560992894</v>
      </c>
      <c r="BC51" s="179">
        <f t="shared" si="36"/>
        <v>1.1575578285559514</v>
      </c>
      <c r="BD51" s="179">
        <f t="shared" si="36"/>
        <v>1.027636718016143</v>
      </c>
      <c r="BE51" s="179">
        <f t="shared" si="36"/>
        <v>0.91231181179040577</v>
      </c>
      <c r="BF51" s="179">
        <f t="shared" si="36"/>
        <v>0.8099409484464517</v>
      </c>
      <c r="BG51" s="128"/>
    </row>
    <row r="52" spans="3:59" ht="15" hidden="1" customHeight="1" x14ac:dyDescent="0.2">
      <c r="C52" s="342" t="s">
        <v>262</v>
      </c>
      <c r="D52" s="342"/>
      <c r="E52" s="342"/>
      <c r="F52" s="174">
        <f t="shared" ref="F52:AK52" si="37">F17*F13</f>
        <v>-2491.7210970440528</v>
      </c>
      <c r="G52" s="174">
        <f t="shared" si="37"/>
        <v>0</v>
      </c>
      <c r="H52" s="174">
        <f t="shared" si="37"/>
        <v>0</v>
      </c>
      <c r="I52" s="174">
        <f t="shared" si="37"/>
        <v>0</v>
      </c>
      <c r="J52" s="174">
        <f t="shared" si="37"/>
        <v>0</v>
      </c>
      <c r="K52" s="174">
        <f t="shared" si="37"/>
        <v>0</v>
      </c>
      <c r="L52" s="174">
        <f t="shared" si="37"/>
        <v>0</v>
      </c>
      <c r="M52" s="174">
        <f t="shared" si="37"/>
        <v>0</v>
      </c>
      <c r="N52" s="174">
        <f t="shared" si="37"/>
        <v>0</v>
      </c>
      <c r="O52" s="174">
        <f t="shared" si="37"/>
        <v>0</v>
      </c>
      <c r="P52" s="174">
        <f t="shared" si="37"/>
        <v>0</v>
      </c>
      <c r="Q52" s="174">
        <f t="shared" si="37"/>
        <v>0</v>
      </c>
      <c r="R52" s="174">
        <f t="shared" si="37"/>
        <v>0</v>
      </c>
      <c r="S52" s="174">
        <f t="shared" si="37"/>
        <v>0</v>
      </c>
      <c r="T52" s="174">
        <f t="shared" si="37"/>
        <v>0</v>
      </c>
      <c r="U52" s="174">
        <f t="shared" si="37"/>
        <v>0</v>
      </c>
      <c r="V52" s="174">
        <f t="shared" si="37"/>
        <v>0</v>
      </c>
      <c r="W52" s="174">
        <f t="shared" si="37"/>
        <v>0</v>
      </c>
      <c r="X52" s="174">
        <f t="shared" si="37"/>
        <v>0</v>
      </c>
      <c r="Y52" s="174">
        <f t="shared" si="37"/>
        <v>0</v>
      </c>
      <c r="Z52" s="180">
        <f t="shared" si="37"/>
        <v>0</v>
      </c>
      <c r="AA52" s="181">
        <f t="shared" si="37"/>
        <v>0</v>
      </c>
      <c r="AB52" s="181">
        <f t="shared" si="37"/>
        <v>0</v>
      </c>
      <c r="AC52" s="181">
        <f t="shared" si="37"/>
        <v>0</v>
      </c>
      <c r="AD52" s="181">
        <f t="shared" si="37"/>
        <v>0</v>
      </c>
      <c r="AE52" s="181">
        <f t="shared" si="37"/>
        <v>0</v>
      </c>
      <c r="AF52" s="181">
        <f t="shared" si="37"/>
        <v>0</v>
      </c>
      <c r="AG52" s="181">
        <f t="shared" si="37"/>
        <v>0</v>
      </c>
      <c r="AH52" s="181">
        <f t="shared" si="37"/>
        <v>0</v>
      </c>
      <c r="AI52" s="181">
        <f t="shared" si="37"/>
        <v>0</v>
      </c>
      <c r="AJ52" s="181">
        <f t="shared" si="37"/>
        <v>0</v>
      </c>
      <c r="AK52" s="181">
        <f t="shared" si="37"/>
        <v>0</v>
      </c>
      <c r="AL52" s="181">
        <f t="shared" ref="AL52:BF52" si="38">AL17*AL13</f>
        <v>0</v>
      </c>
      <c r="AM52" s="181">
        <f t="shared" si="38"/>
        <v>0</v>
      </c>
      <c r="AN52" s="181">
        <f t="shared" si="38"/>
        <v>0</v>
      </c>
      <c r="AO52" s="181">
        <f t="shared" si="38"/>
        <v>0</v>
      </c>
      <c r="AP52" s="181">
        <f t="shared" si="38"/>
        <v>0</v>
      </c>
      <c r="AQ52" s="181">
        <f t="shared" si="38"/>
        <v>0</v>
      </c>
      <c r="AR52" s="181">
        <f t="shared" si="38"/>
        <v>0</v>
      </c>
      <c r="AS52" s="181">
        <f t="shared" si="38"/>
        <v>0</v>
      </c>
      <c r="AT52" s="181">
        <f t="shared" si="38"/>
        <v>0</v>
      </c>
      <c r="AU52" s="181">
        <f t="shared" si="38"/>
        <v>0</v>
      </c>
      <c r="AV52" s="181">
        <f t="shared" si="38"/>
        <v>0</v>
      </c>
      <c r="AW52" s="181">
        <f t="shared" si="38"/>
        <v>0</v>
      </c>
      <c r="AX52" s="181">
        <f t="shared" si="38"/>
        <v>0</v>
      </c>
      <c r="AY52" s="181">
        <f t="shared" si="38"/>
        <v>0</v>
      </c>
      <c r="AZ52" s="181">
        <f t="shared" si="38"/>
        <v>0</v>
      </c>
      <c r="BA52" s="181">
        <f t="shared" si="38"/>
        <v>0</v>
      </c>
      <c r="BB52" s="181">
        <f t="shared" si="38"/>
        <v>0</v>
      </c>
      <c r="BC52" s="181">
        <f t="shared" si="38"/>
        <v>0</v>
      </c>
      <c r="BD52" s="181">
        <f t="shared" si="38"/>
        <v>0</v>
      </c>
      <c r="BE52" s="181">
        <f t="shared" si="38"/>
        <v>0</v>
      </c>
      <c r="BF52" s="181">
        <f t="shared" si="38"/>
        <v>0</v>
      </c>
      <c r="BG52" s="128"/>
    </row>
    <row r="53" spans="3:59" ht="15" customHeight="1" thickBot="1" x14ac:dyDescent="0.25"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</row>
    <row r="54" spans="3:59" ht="15" customHeight="1" thickBot="1" x14ac:dyDescent="0.25">
      <c r="C54" s="343" t="s">
        <v>261</v>
      </c>
      <c r="D54" s="344"/>
      <c r="E54" s="344"/>
      <c r="F54" s="344"/>
      <c r="G54" s="344"/>
      <c r="H54" s="344"/>
      <c r="I54" s="345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</row>
    <row r="55" spans="3:59" ht="15" customHeight="1" x14ac:dyDescent="0.2">
      <c r="C55" s="346" t="s">
        <v>260</v>
      </c>
      <c r="D55" s="347"/>
      <c r="E55" s="347"/>
      <c r="F55" s="347"/>
      <c r="G55" s="347"/>
      <c r="H55" s="348" t="s">
        <v>259</v>
      </c>
      <c r="I55" s="349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</row>
    <row r="56" spans="3:59" ht="15" customHeight="1" x14ac:dyDescent="0.2">
      <c r="C56" s="334" t="s">
        <v>258</v>
      </c>
      <c r="D56" s="335"/>
      <c r="E56" s="335"/>
      <c r="F56" s="335"/>
      <c r="G56" s="335"/>
      <c r="H56" s="350">
        <f>K6</f>
        <v>0.25</v>
      </c>
      <c r="I56" s="351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</row>
    <row r="57" spans="3:59" ht="15" customHeight="1" x14ac:dyDescent="0.2">
      <c r="C57" s="334" t="s">
        <v>257</v>
      </c>
      <c r="D57" s="335"/>
      <c r="E57" s="335"/>
      <c r="F57" s="335"/>
      <c r="G57" s="335"/>
      <c r="H57" s="336">
        <f>-SUM(F17:Z17)</f>
        <v>2491.7210970440528</v>
      </c>
      <c r="I57" s="337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</row>
    <row r="58" spans="3:59" ht="15" customHeight="1" x14ac:dyDescent="0.2">
      <c r="C58" s="334" t="s">
        <v>256</v>
      </c>
      <c r="D58" s="335"/>
      <c r="E58" s="335"/>
      <c r="F58" s="335"/>
      <c r="G58" s="335"/>
      <c r="H58" s="336" t="str">
        <f>ROUND(K40,1)&amp;" / "&amp;ROUND(K40/H57,1)</f>
        <v>-1535,6 / -0,6</v>
      </c>
      <c r="I58" s="337"/>
    </row>
    <row r="59" spans="3:59" ht="15" customHeight="1" x14ac:dyDescent="0.2">
      <c r="C59" s="352" t="s">
        <v>255</v>
      </c>
      <c r="D59" s="353"/>
      <c r="E59" s="353"/>
      <c r="F59" s="353"/>
      <c r="G59" s="354"/>
      <c r="H59" s="336" t="str">
        <f>ROUND(P40,1)&amp;" / "&amp;ROUND(P40/H57,1)</f>
        <v>-892,6 / -0,4</v>
      </c>
      <c r="I59" s="337"/>
    </row>
    <row r="60" spans="3:59" ht="15" customHeight="1" x14ac:dyDescent="0.2">
      <c r="C60" s="352" t="s">
        <v>254</v>
      </c>
      <c r="D60" s="353"/>
      <c r="E60" s="353"/>
      <c r="F60" s="353"/>
      <c r="G60" s="354"/>
      <c r="H60" s="336" t="str">
        <f>ROUND(U40,1)&amp;" / "&amp;ROUND(U40/H57,1)</f>
        <v>-542,4 / -0,2</v>
      </c>
      <c r="I60" s="337"/>
    </row>
    <row r="61" spans="3:59" ht="15" customHeight="1" x14ac:dyDescent="0.2">
      <c r="C61" s="352" t="s">
        <v>253</v>
      </c>
      <c r="D61" s="353"/>
      <c r="E61" s="353"/>
      <c r="F61" s="353"/>
      <c r="G61" s="354"/>
      <c r="H61" s="336" t="str">
        <f>ROUND(Z40,1)&amp;" / "&amp;ROUND(Z40/H57,1)</f>
        <v>-351 / -0,1</v>
      </c>
      <c r="I61" s="337"/>
      <c r="S61" s="182" t="s">
        <v>252</v>
      </c>
    </row>
    <row r="62" spans="3:59" ht="15" customHeight="1" x14ac:dyDescent="0.2">
      <c r="C62" s="334" t="s">
        <v>251</v>
      </c>
      <c r="D62" s="335"/>
      <c r="E62" s="335"/>
      <c r="F62" s="335"/>
      <c r="G62" s="335"/>
      <c r="H62" s="336">
        <f>SUM(F51:Z51)/-SUM(F52:Z52)</f>
        <v>0.85912164716358441</v>
      </c>
      <c r="I62" s="337"/>
    </row>
    <row r="63" spans="3:59" ht="15" customHeight="1" x14ac:dyDescent="0.2">
      <c r="C63" s="334" t="s">
        <v>250</v>
      </c>
      <c r="D63" s="335"/>
      <c r="E63" s="335"/>
      <c r="F63" s="335"/>
      <c r="G63" s="335"/>
      <c r="H63" s="336">
        <f>-F17/G18</f>
        <v>12.716017202927228</v>
      </c>
      <c r="I63" s="337"/>
    </row>
    <row r="64" spans="3:59" ht="15" customHeight="1" x14ac:dyDescent="0.2">
      <c r="C64" s="334" t="s">
        <v>249</v>
      </c>
      <c r="D64" s="335"/>
      <c r="E64" s="335"/>
      <c r="F64" s="335"/>
      <c r="G64" s="335"/>
      <c r="H64" s="336" t="str">
        <f>IF(SUM(G45:BF45)&gt;0,(SUM(G48:BF48)+G47),"Більше 50 років")</f>
        <v>Більше 50 років</v>
      </c>
      <c r="I64" s="337"/>
    </row>
    <row r="65" spans="3:9" ht="15" thickBot="1" x14ac:dyDescent="0.25">
      <c r="C65" s="338" t="s">
        <v>248</v>
      </c>
      <c r="D65" s="339"/>
      <c r="E65" s="339"/>
      <c r="F65" s="339"/>
      <c r="G65" s="339"/>
      <c r="H65" s="340">
        <f>IRR(F37:Z37)</f>
        <v>0.22535931999830505</v>
      </c>
      <c r="I65" s="341"/>
    </row>
    <row r="66" spans="3:9" x14ac:dyDescent="0.2">
      <c r="C66" s="183"/>
      <c r="D66" s="183"/>
      <c r="E66" s="183"/>
      <c r="F66" s="183"/>
      <c r="G66" s="183"/>
      <c r="H66" s="184"/>
      <c r="I66" s="184"/>
    </row>
    <row r="67" spans="3:9" x14ac:dyDescent="0.2">
      <c r="C67" s="127" t="s">
        <v>247</v>
      </c>
      <c r="D67" s="185" t="str">
        <f>H64</f>
        <v>Більше 50 років</v>
      </c>
    </row>
  </sheetData>
  <mergeCells count="428">
    <mergeCell ref="H64:I64"/>
    <mergeCell ref="C65:G65"/>
    <mergeCell ref="H65:I65"/>
    <mergeCell ref="C51:E51"/>
    <mergeCell ref="C52:E52"/>
    <mergeCell ref="C54:I54"/>
    <mergeCell ref="C55:G55"/>
    <mergeCell ref="H55:I55"/>
    <mergeCell ref="C56:G56"/>
    <mergeCell ref="H56:I56"/>
    <mergeCell ref="C57:G57"/>
    <mergeCell ref="H57:I57"/>
    <mergeCell ref="C58:G58"/>
    <mergeCell ref="H58:I58"/>
    <mergeCell ref="C59:G59"/>
    <mergeCell ref="H59:I59"/>
    <mergeCell ref="C60:G60"/>
    <mergeCell ref="H60:I60"/>
    <mergeCell ref="C61:G61"/>
    <mergeCell ref="H61:I61"/>
    <mergeCell ref="C62:G62"/>
    <mergeCell ref="H62:I62"/>
    <mergeCell ref="C63:G63"/>
    <mergeCell ref="H63:I63"/>
    <mergeCell ref="C64:G64"/>
    <mergeCell ref="BD40:BD42"/>
    <mergeCell ref="BE40:BE42"/>
    <mergeCell ref="BF40:BF42"/>
    <mergeCell ref="AI40:AI42"/>
    <mergeCell ref="AJ40:AJ42"/>
    <mergeCell ref="AK40:AK42"/>
    <mergeCell ref="AL40:AL42"/>
    <mergeCell ref="AM40:AM42"/>
    <mergeCell ref="AN40:AN42"/>
    <mergeCell ref="AO40:AO42"/>
    <mergeCell ref="AP40:AP42"/>
    <mergeCell ref="AQ40:AQ42"/>
    <mergeCell ref="AR40:AR42"/>
    <mergeCell ref="AS40:AS42"/>
    <mergeCell ref="AT40:AT42"/>
    <mergeCell ref="AU40:AU42"/>
    <mergeCell ref="AV40:AV42"/>
    <mergeCell ref="AW40:AW42"/>
    <mergeCell ref="AX40:AX42"/>
    <mergeCell ref="AY40:AY42"/>
    <mergeCell ref="AZ40:AZ42"/>
    <mergeCell ref="BA40:BA42"/>
    <mergeCell ref="BB40:BB42"/>
    <mergeCell ref="BC40:BC42"/>
    <mergeCell ref="P38:P39"/>
    <mergeCell ref="AE40:AE42"/>
    <mergeCell ref="AF40:AF42"/>
    <mergeCell ref="AG40:AG42"/>
    <mergeCell ref="AH40:AH42"/>
    <mergeCell ref="W40:W42"/>
    <mergeCell ref="X40:X42"/>
    <mergeCell ref="Y40:Y42"/>
    <mergeCell ref="Z40:Z42"/>
    <mergeCell ref="AA40:AA42"/>
    <mergeCell ref="AB40:AB42"/>
    <mergeCell ref="AQ38:AQ39"/>
    <mergeCell ref="AR38:AR39"/>
    <mergeCell ref="AS38:AS39"/>
    <mergeCell ref="AT38:AT39"/>
    <mergeCell ref="K40:K42"/>
    <mergeCell ref="L40:L42"/>
    <mergeCell ref="M40:M42"/>
    <mergeCell ref="N40:N42"/>
    <mergeCell ref="O40:O42"/>
    <mergeCell ref="P40:P42"/>
    <mergeCell ref="AD38:AD39"/>
    <mergeCell ref="AE38:AE39"/>
    <mergeCell ref="Q40:Q42"/>
    <mergeCell ref="R40:R42"/>
    <mergeCell ref="S40:S42"/>
    <mergeCell ref="T40:T42"/>
    <mergeCell ref="U40:U42"/>
    <mergeCell ref="V40:V42"/>
    <mergeCell ref="AC40:AC42"/>
    <mergeCell ref="AD40:AD42"/>
    <mergeCell ref="AB38:AB39"/>
    <mergeCell ref="AC38:AC39"/>
    <mergeCell ref="K38:K39"/>
    <mergeCell ref="L38:L39"/>
    <mergeCell ref="C40:E42"/>
    <mergeCell ref="F40:F42"/>
    <mergeCell ref="G40:G42"/>
    <mergeCell ref="H40:H42"/>
    <mergeCell ref="I40:I42"/>
    <mergeCell ref="J40:J42"/>
    <mergeCell ref="BD38:BD39"/>
    <mergeCell ref="BE38:BE39"/>
    <mergeCell ref="BF38:BF39"/>
    <mergeCell ref="AU38:AU39"/>
    <mergeCell ref="AV38:AV39"/>
    <mergeCell ref="AW38:AW39"/>
    <mergeCell ref="AX38:AX39"/>
    <mergeCell ref="AY38:AY39"/>
    <mergeCell ref="AZ38:AZ39"/>
    <mergeCell ref="BA38:BA39"/>
    <mergeCell ref="AF38:AF39"/>
    <mergeCell ref="AG38:AG39"/>
    <mergeCell ref="AH38:AH39"/>
    <mergeCell ref="W38:W39"/>
    <mergeCell ref="X38:X39"/>
    <mergeCell ref="Y38:Y39"/>
    <mergeCell ref="Z38:Z39"/>
    <mergeCell ref="AA38:AA39"/>
    <mergeCell ref="BC34:BC35"/>
    <mergeCell ref="AS34:AS35"/>
    <mergeCell ref="AT34:AT35"/>
    <mergeCell ref="AU34:AU35"/>
    <mergeCell ref="AV34:AV35"/>
    <mergeCell ref="X34:X35"/>
    <mergeCell ref="Q38:Q39"/>
    <mergeCell ref="R38:R39"/>
    <mergeCell ref="S38:S39"/>
    <mergeCell ref="T38:T39"/>
    <mergeCell ref="U38:U39"/>
    <mergeCell ref="V38:V39"/>
    <mergeCell ref="Z34:Z35"/>
    <mergeCell ref="AA34:AA35"/>
    <mergeCell ref="AI38:AI39"/>
    <mergeCell ref="AJ38:AJ39"/>
    <mergeCell ref="AK38:AK39"/>
    <mergeCell ref="AL38:AL39"/>
    <mergeCell ref="AM38:AM39"/>
    <mergeCell ref="AN38:AN39"/>
    <mergeCell ref="BB38:BB39"/>
    <mergeCell ref="BC38:BC39"/>
    <mergeCell ref="AO38:AO39"/>
    <mergeCell ref="AP38:AP39"/>
    <mergeCell ref="AK34:AK35"/>
    <mergeCell ref="AL34:AL35"/>
    <mergeCell ref="AM34:AM35"/>
    <mergeCell ref="AN34:AN35"/>
    <mergeCell ref="AO34:AO35"/>
    <mergeCell ref="AP34:AP35"/>
    <mergeCell ref="BB34:BB35"/>
    <mergeCell ref="AQ34:AQ35"/>
    <mergeCell ref="AR34:AR35"/>
    <mergeCell ref="AH34:AH35"/>
    <mergeCell ref="AI34:AI35"/>
    <mergeCell ref="AJ34:AJ35"/>
    <mergeCell ref="AE34:AE35"/>
    <mergeCell ref="AF34:AF35"/>
    <mergeCell ref="AG34:AG35"/>
    <mergeCell ref="C38:E39"/>
    <mergeCell ref="F38:F39"/>
    <mergeCell ref="G38:G39"/>
    <mergeCell ref="H38:H39"/>
    <mergeCell ref="I38:I39"/>
    <mergeCell ref="J38:J39"/>
    <mergeCell ref="Y34:Y35"/>
    <mergeCell ref="AB34:AB35"/>
    <mergeCell ref="AC34:AC35"/>
    <mergeCell ref="AD34:AD35"/>
    <mergeCell ref="S34:S35"/>
    <mergeCell ref="T34:T35"/>
    <mergeCell ref="U34:U35"/>
    <mergeCell ref="V34:V35"/>
    <mergeCell ref="W34:W35"/>
    <mergeCell ref="M38:M39"/>
    <mergeCell ref="N38:N39"/>
    <mergeCell ref="O38:O39"/>
    <mergeCell ref="BF34:BF35"/>
    <mergeCell ref="C36:E36"/>
    <mergeCell ref="C37:E37"/>
    <mergeCell ref="AW34:AW35"/>
    <mergeCell ref="AX34:AX35"/>
    <mergeCell ref="AY34:AY35"/>
    <mergeCell ref="AZ34:AZ35"/>
    <mergeCell ref="BA34:BA35"/>
    <mergeCell ref="AZ31:AZ32"/>
    <mergeCell ref="BA31:BA32"/>
    <mergeCell ref="BB31:BB32"/>
    <mergeCell ref="BC31:BC32"/>
    <mergeCell ref="BD31:BD32"/>
    <mergeCell ref="BE31:BE32"/>
    <mergeCell ref="BF31:BF32"/>
    <mergeCell ref="C33:E33"/>
    <mergeCell ref="C34:E35"/>
    <mergeCell ref="F34:F35"/>
    <mergeCell ref="G34:G35"/>
    <mergeCell ref="H34:H35"/>
    <mergeCell ref="I34:I35"/>
    <mergeCell ref="J34:J35"/>
    <mergeCell ref="BD34:BD35"/>
    <mergeCell ref="BE34:BE35"/>
    <mergeCell ref="K34:K35"/>
    <mergeCell ref="L34:L35"/>
    <mergeCell ref="M34:M35"/>
    <mergeCell ref="N34:N35"/>
    <mergeCell ref="O34:O35"/>
    <mergeCell ref="P34:P35"/>
    <mergeCell ref="Q34:Q35"/>
    <mergeCell ref="R34:R35"/>
    <mergeCell ref="AV31:AV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P31:P32"/>
    <mergeCell ref="Q31:Q32"/>
    <mergeCell ref="R31:R32"/>
    <mergeCell ref="AW31:AW32"/>
    <mergeCell ref="AX31:AX32"/>
    <mergeCell ref="AY31:AY32"/>
    <mergeCell ref="AN31:AN32"/>
    <mergeCell ref="AO31:AO32"/>
    <mergeCell ref="AP31:AP32"/>
    <mergeCell ref="AQ31:AQ32"/>
    <mergeCell ref="AR31:AR32"/>
    <mergeCell ref="AS31:AS32"/>
    <mergeCell ref="AT31:AT32"/>
    <mergeCell ref="AU31:AU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C30:E30"/>
    <mergeCell ref="C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AU27:AU29"/>
    <mergeCell ref="AV27:AV29"/>
    <mergeCell ref="AW27:AW29"/>
    <mergeCell ref="AX27:AX29"/>
    <mergeCell ref="AY27:AY29"/>
    <mergeCell ref="AZ27:AZ29"/>
    <mergeCell ref="W27:W29"/>
    <mergeCell ref="X27:X29"/>
    <mergeCell ref="Y27:Y29"/>
    <mergeCell ref="Z27:Z29"/>
    <mergeCell ref="AA27:AA29"/>
    <mergeCell ref="AB27:AB29"/>
    <mergeCell ref="AC27:AC29"/>
    <mergeCell ref="AD27:AD29"/>
    <mergeCell ref="AE27:AE29"/>
    <mergeCell ref="AF27:AF29"/>
    <mergeCell ref="AG27:AG29"/>
    <mergeCell ref="AH27:AH29"/>
    <mergeCell ref="T27:T29"/>
    <mergeCell ref="U27:U29"/>
    <mergeCell ref="V27:V29"/>
    <mergeCell ref="BA27:BA29"/>
    <mergeCell ref="BB27:BB29"/>
    <mergeCell ref="BC27:BC29"/>
    <mergeCell ref="BD27:BD29"/>
    <mergeCell ref="BE27:BE29"/>
    <mergeCell ref="BF27:BF29"/>
    <mergeCell ref="AI27:AI29"/>
    <mergeCell ref="AJ27:AJ29"/>
    <mergeCell ref="AK27:AK29"/>
    <mergeCell ref="AL27:AL29"/>
    <mergeCell ref="AM27:AM29"/>
    <mergeCell ref="AN27:AN29"/>
    <mergeCell ref="AO27:AO29"/>
    <mergeCell ref="AP27:AP29"/>
    <mergeCell ref="AQ27:AQ29"/>
    <mergeCell ref="AR27:AR29"/>
    <mergeCell ref="AS27:AS29"/>
    <mergeCell ref="AT27:AT29"/>
    <mergeCell ref="K27:K29"/>
    <mergeCell ref="L27:L29"/>
    <mergeCell ref="M27:M29"/>
    <mergeCell ref="N27:N29"/>
    <mergeCell ref="O27:O29"/>
    <mergeCell ref="P27:P29"/>
    <mergeCell ref="Q27:Q29"/>
    <mergeCell ref="R27:R29"/>
    <mergeCell ref="S27:S29"/>
    <mergeCell ref="AI24:AI26"/>
    <mergeCell ref="AJ24:AJ26"/>
    <mergeCell ref="AK24:AK26"/>
    <mergeCell ref="AL24:AL26"/>
    <mergeCell ref="AM24:AM26"/>
    <mergeCell ref="AN24:AN26"/>
    <mergeCell ref="BB24:BB26"/>
    <mergeCell ref="BC24:BC26"/>
    <mergeCell ref="AO24:AO26"/>
    <mergeCell ref="AP24:AP26"/>
    <mergeCell ref="AQ24:AQ26"/>
    <mergeCell ref="AR24:AR26"/>
    <mergeCell ref="AS24:AS26"/>
    <mergeCell ref="AT24:AT26"/>
    <mergeCell ref="C27:E29"/>
    <mergeCell ref="F27:F29"/>
    <mergeCell ref="G27:G29"/>
    <mergeCell ref="H27:H29"/>
    <mergeCell ref="I27:I29"/>
    <mergeCell ref="J27:J29"/>
    <mergeCell ref="BD24:BD26"/>
    <mergeCell ref="BE24:BE26"/>
    <mergeCell ref="BF24:BF26"/>
    <mergeCell ref="AU24:AU26"/>
    <mergeCell ref="AV24:AV26"/>
    <mergeCell ref="AW24:AW26"/>
    <mergeCell ref="AX24:AX26"/>
    <mergeCell ref="AY24:AY26"/>
    <mergeCell ref="AZ24:AZ26"/>
    <mergeCell ref="BA24:BA26"/>
    <mergeCell ref="AF24:AF26"/>
    <mergeCell ref="AG24:AG26"/>
    <mergeCell ref="AH24:AH26"/>
    <mergeCell ref="W24:W26"/>
    <mergeCell ref="X24:X26"/>
    <mergeCell ref="Y24:Y26"/>
    <mergeCell ref="Z24:Z26"/>
    <mergeCell ref="AA24:AA26"/>
    <mergeCell ref="K24:K26"/>
    <mergeCell ref="L24:L26"/>
    <mergeCell ref="M24:M26"/>
    <mergeCell ref="N24:N26"/>
    <mergeCell ref="O24:O26"/>
    <mergeCell ref="P24:P26"/>
    <mergeCell ref="AD21:AD23"/>
    <mergeCell ref="K21:K23"/>
    <mergeCell ref="L21:L23"/>
    <mergeCell ref="M21:M23"/>
    <mergeCell ref="N21:N23"/>
    <mergeCell ref="O21:O23"/>
    <mergeCell ref="P21:P23"/>
    <mergeCell ref="Q24:Q26"/>
    <mergeCell ref="R24:R26"/>
    <mergeCell ref="S24:S26"/>
    <mergeCell ref="T24:T26"/>
    <mergeCell ref="U24:U26"/>
    <mergeCell ref="V24:V26"/>
    <mergeCell ref="AD24:AD26"/>
    <mergeCell ref="AE24:AE26"/>
    <mergeCell ref="AB21:AB23"/>
    <mergeCell ref="AC21:AC23"/>
    <mergeCell ref="Q21:Q23"/>
    <mergeCell ref="R21:R23"/>
    <mergeCell ref="S21:S23"/>
    <mergeCell ref="T21:T23"/>
    <mergeCell ref="U21:U23"/>
    <mergeCell ref="V21:V23"/>
    <mergeCell ref="AB24:AB26"/>
    <mergeCell ref="AC24:AC26"/>
    <mergeCell ref="AJ21:AJ23"/>
    <mergeCell ref="AK21:AK23"/>
    <mergeCell ref="AL21:AL23"/>
    <mergeCell ref="AM21:AM23"/>
    <mergeCell ref="AN21:AN23"/>
    <mergeCell ref="BB21:BB23"/>
    <mergeCell ref="BC21:BC23"/>
    <mergeCell ref="AO21:AO23"/>
    <mergeCell ref="AP21:AP23"/>
    <mergeCell ref="AQ21:AQ23"/>
    <mergeCell ref="AR21:AR23"/>
    <mergeCell ref="AS21:AS23"/>
    <mergeCell ref="AT21:AT23"/>
    <mergeCell ref="AF21:AF23"/>
    <mergeCell ref="AG21:AG23"/>
    <mergeCell ref="AH21:AH23"/>
    <mergeCell ref="W21:W23"/>
    <mergeCell ref="X21:X23"/>
    <mergeCell ref="Y21:Y23"/>
    <mergeCell ref="Z21:Z23"/>
    <mergeCell ref="AA21:AA23"/>
    <mergeCell ref="AI21:AI23"/>
    <mergeCell ref="AE21:AE23"/>
    <mergeCell ref="BD21:BD23"/>
    <mergeCell ref="BE21:BE23"/>
    <mergeCell ref="BF21:BF23"/>
    <mergeCell ref="AU21:AU23"/>
    <mergeCell ref="AV21:AV23"/>
    <mergeCell ref="AW21:AW23"/>
    <mergeCell ref="AX21:AX23"/>
    <mergeCell ref="AY21:AY23"/>
    <mergeCell ref="AZ21:AZ23"/>
    <mergeCell ref="BA21:BA23"/>
    <mergeCell ref="C21:E23"/>
    <mergeCell ref="F21:F23"/>
    <mergeCell ref="G21:G23"/>
    <mergeCell ref="C24:E26"/>
    <mergeCell ref="F24:F26"/>
    <mergeCell ref="G24:G26"/>
    <mergeCell ref="H24:H26"/>
    <mergeCell ref="I24:I26"/>
    <mergeCell ref="J24:J26"/>
    <mergeCell ref="H21:H23"/>
    <mergeCell ref="I21:I23"/>
    <mergeCell ref="J21:J23"/>
    <mergeCell ref="C2:Z3"/>
    <mergeCell ref="F5:J5"/>
    <mergeCell ref="K5:L5"/>
    <mergeCell ref="N5:R5"/>
    <mergeCell ref="S5:T5"/>
    <mergeCell ref="F6:J6"/>
    <mergeCell ref="K6:L6"/>
    <mergeCell ref="N6:R6"/>
    <mergeCell ref="S6:T6"/>
    <mergeCell ref="C18:E18"/>
    <mergeCell ref="C19:E19"/>
    <mergeCell ref="C20:E20"/>
    <mergeCell ref="C8:E8"/>
    <mergeCell ref="C9:E9"/>
    <mergeCell ref="C10:E10"/>
    <mergeCell ref="C11:E11"/>
    <mergeCell ref="C12:E12"/>
    <mergeCell ref="C13:E13"/>
    <mergeCell ref="C15:E15"/>
    <mergeCell ref="C16:E16"/>
    <mergeCell ref="C17:E1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A5" sqref="A5:A10"/>
    </sheetView>
  </sheetViews>
  <sheetFormatPr defaultRowHeight="15" x14ac:dyDescent="0.25"/>
  <cols>
    <col min="2" max="2" width="37.28515625" customWidth="1"/>
    <col min="3" max="3" width="21.5703125" customWidth="1"/>
    <col min="4" max="4" width="22.42578125" customWidth="1"/>
    <col min="5" max="5" width="24.140625" customWidth="1"/>
  </cols>
  <sheetData>
    <row r="1" spans="1:7" x14ac:dyDescent="0.25">
      <c r="C1" s="36" t="s">
        <v>389</v>
      </c>
      <c r="D1" s="36" t="s">
        <v>388</v>
      </c>
      <c r="E1" s="36" t="s">
        <v>387</v>
      </c>
    </row>
    <row r="2" spans="1:7" x14ac:dyDescent="0.25">
      <c r="A2">
        <v>1</v>
      </c>
      <c r="B2" t="s">
        <v>138</v>
      </c>
      <c r="C2" s="45">
        <v>0.25</v>
      </c>
      <c r="D2">
        <f>'Калькулятор ОСББ'!B49/12</f>
        <v>5</v>
      </c>
      <c r="E2" s="95">
        <v>0.03</v>
      </c>
      <c r="G2">
        <v>1</v>
      </c>
    </row>
    <row r="3" spans="1:7" x14ac:dyDescent="0.25">
      <c r="A3">
        <v>2</v>
      </c>
      <c r="B3" t="s">
        <v>386</v>
      </c>
      <c r="C3" s="45">
        <v>0.25</v>
      </c>
      <c r="D3">
        <f>'Калькулятор ОСББ'!B49/12</f>
        <v>5</v>
      </c>
      <c r="E3" s="45">
        <v>0.01</v>
      </c>
    </row>
    <row r="4" spans="1:7" x14ac:dyDescent="0.25">
      <c r="A4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33</vt:i4>
      </vt:variant>
    </vt:vector>
  </HeadingPairs>
  <TitlesOfParts>
    <vt:vector size="46" baseType="lpstr">
      <vt:lpstr>Калькулятор ОСББ</vt:lpstr>
      <vt:lpstr>ОСББ</vt:lpstr>
      <vt:lpstr>Вхідні дані</vt:lpstr>
      <vt:lpstr>Фінансовий потік</vt:lpstr>
      <vt:lpstr>Розрахунки</vt:lpstr>
      <vt:lpstr>Регіони</vt:lpstr>
      <vt:lpstr>Тарифи</vt:lpstr>
      <vt:lpstr>Фінансовий потік Х</vt:lpstr>
      <vt:lpstr>Умови кредитування</vt:lpstr>
      <vt:lpstr>Порівняння платежів</vt:lpstr>
      <vt:lpstr>Порівняння щомісячних платежів </vt:lpstr>
      <vt:lpstr>Тарифи ЦО</vt:lpstr>
      <vt:lpstr>Перелік областей</vt:lpstr>
      <vt:lpstr>Банки</vt:lpstr>
      <vt:lpstr>Вінницька</vt:lpstr>
      <vt:lpstr>Волинська</vt:lpstr>
      <vt:lpstr>Дніпропетровська</vt:lpstr>
      <vt:lpstr>Донецька</vt:lpstr>
      <vt:lpstr>ОСББ!Дореволюционные</vt:lpstr>
      <vt:lpstr>Житомирська</vt:lpstr>
      <vt:lpstr>Запорізька</vt:lpstr>
      <vt:lpstr>Заходи_з_енергозбереження</vt:lpstr>
      <vt:lpstr>Івано_Франківська</vt:lpstr>
      <vt:lpstr>Київ</vt:lpstr>
      <vt:lpstr>Київська</vt:lpstr>
      <vt:lpstr>Кількість_поверхів</vt:lpstr>
      <vt:lpstr>Кіровоградська</vt:lpstr>
      <vt:lpstr>Компанії</vt:lpstr>
      <vt:lpstr>Луганська</vt:lpstr>
      <vt:lpstr>Львівська</vt:lpstr>
      <vt:lpstr>Миколаївська</vt:lpstr>
      <vt:lpstr>Області</vt:lpstr>
      <vt:lpstr>Одеська</vt:lpstr>
      <vt:lpstr>Полтавська</vt:lpstr>
      <vt:lpstr>Регіони</vt:lpstr>
      <vt:lpstr>Рівненська</vt:lpstr>
      <vt:lpstr>Сумська</vt:lpstr>
      <vt:lpstr>Тернопільська</vt:lpstr>
      <vt:lpstr>Тип_будинку</vt:lpstr>
      <vt:lpstr>Тип_фінансування</vt:lpstr>
      <vt:lpstr>Харківська</vt:lpstr>
      <vt:lpstr>Херсонська</vt:lpstr>
      <vt:lpstr>Хмельницька</vt:lpstr>
      <vt:lpstr>Черкаська</vt:lpstr>
      <vt:lpstr>Чернівецька</vt:lpstr>
      <vt:lpstr>Чернігівська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tsybulko</cp:lastModifiedBy>
  <dcterms:created xsi:type="dcterms:W3CDTF">2015-05-15T19:15:33Z</dcterms:created>
  <dcterms:modified xsi:type="dcterms:W3CDTF">2015-05-21T11:09:36Z</dcterms:modified>
</cp:coreProperties>
</file>