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Titles" localSheetId="0">Лист1!$5:$8</definedName>
    <definedName name="_xlnm.Print_Area" localSheetId="0">Лист1!$A$1:$K$36</definedName>
  </definedNames>
  <calcPr calcId="124519" refMode="R1C1"/>
</workbook>
</file>

<file path=xl/calcChain.xml><?xml version="1.0" encoding="utf-8"?>
<calcChain xmlns="http://schemas.openxmlformats.org/spreadsheetml/2006/main">
  <c r="F32" i="1"/>
  <c r="M25"/>
  <c r="M26"/>
  <c r="M27"/>
  <c r="M22"/>
  <c r="M23"/>
  <c r="M24"/>
  <c r="M16"/>
  <c r="M17"/>
  <c r="M18"/>
  <c r="I18"/>
  <c r="J18"/>
  <c r="J27"/>
  <c r="M21"/>
  <c r="M19"/>
  <c r="M14"/>
  <c r="M12"/>
  <c r="M10"/>
  <c r="F9"/>
  <c r="I12"/>
  <c r="J12"/>
  <c r="J14"/>
  <c r="I21"/>
  <c r="J21"/>
  <c r="J25"/>
  <c r="J19"/>
  <c r="J16"/>
  <c r="J22"/>
  <c r="J10"/>
  <c r="R32"/>
  <c r="Q34"/>
  <c r="M34"/>
  <c r="Q35"/>
  <c r="L34"/>
  <c r="J17" l="1"/>
  <c r="J24"/>
  <c r="F31"/>
  <c r="J31"/>
  <c r="F25"/>
  <c r="F19"/>
  <c r="F34" l="1"/>
  <c r="M20" l="1"/>
  <c r="M15"/>
  <c r="M13"/>
  <c r="M11"/>
  <c r="M9"/>
  <c r="F15"/>
  <c r="J34"/>
  <c r="I27"/>
  <c r="I25"/>
  <c r="F29" l="1"/>
  <c r="J15" l="1"/>
  <c r="I28"/>
  <c r="J23"/>
  <c r="J20"/>
  <c r="J13"/>
  <c r="J9"/>
  <c r="G32"/>
  <c r="G34"/>
  <c r="G31"/>
  <c r="G29"/>
  <c r="G30" s="1"/>
  <c r="G25"/>
  <c r="F35"/>
  <c r="I35"/>
  <c r="J35"/>
  <c r="E35"/>
  <c r="F30"/>
  <c r="I30"/>
  <c r="J30"/>
  <c r="E30"/>
  <c r="E28"/>
  <c r="F13" l="1"/>
  <c r="G13" s="1"/>
  <c r="F22"/>
  <c r="G22" s="1"/>
  <c r="G19"/>
  <c r="G15"/>
  <c r="E36"/>
  <c r="J28"/>
  <c r="J36" s="1"/>
  <c r="I36"/>
  <c r="G35"/>
  <c r="F28" l="1"/>
  <c r="F36" s="1"/>
  <c r="G9"/>
  <c r="G28" s="1"/>
  <c r="G36" s="1"/>
</calcChain>
</file>

<file path=xl/sharedStrings.xml><?xml version="1.0" encoding="utf-8"?>
<sst xmlns="http://schemas.openxmlformats.org/spreadsheetml/2006/main" count="87" uniqueCount="58">
  <si>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</si>
  <si>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</si>
  <si>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</si>
  <si>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</si>
  <si>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</si>
  <si>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</si>
  <si>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</si>
  <si>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</si>
  <si>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</si>
  <si>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</si>
  <si>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</si>
  <si>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</si>
  <si>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</si>
  <si>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</si>
  <si>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</si>
  <si>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</si>
  <si>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</si>
  <si>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</si>
  <si>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</si>
  <si>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</si>
  <si>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</si>
  <si>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</si>
  <si>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</si>
  <si>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</si>
  <si>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</si>
  <si>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</si>
  <si>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</si>
  <si>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</si>
  <si>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t>
  </si>
  <si>
    <t>Придбання обладнання (мати, татамі)</t>
  </si>
  <si>
    <t>Капітальний ремонт будівлі та облаштування клубу за місцем проживання «Темп» по пр.Гонгадзе, 18-Б</t>
  </si>
  <si>
    <t>Придбання кондиціонерів</t>
  </si>
  <si>
    <t>Придбання обладнання (аудіосистема)</t>
  </si>
  <si>
    <t>Придбання меблів</t>
  </si>
  <si>
    <t xml:space="preserve">Капітальний ремонт покрівлі, фасаду, внутрішніх приміщень </t>
  </si>
  <si>
    <t>Придбання обладнання (система відеоспостереження)</t>
  </si>
  <si>
    <t>ЗФ 198,0</t>
  </si>
  <si>
    <t>СФ 5391,1</t>
  </si>
  <si>
    <t xml:space="preserve">Оплата послуг з виготовлення проекту на влаштування освітлення парку </t>
  </si>
  <si>
    <t>Капітальний ремонт та облаштування клубу за місцем проживання«Академія дитинства» по пр.Квітневий, 4</t>
  </si>
  <si>
    <t>Разом по розпоряднику коштів управління житлово-комунального господарства Подільської РДА:</t>
  </si>
  <si>
    <t>86,7582 ПРОФІНАНСОВАНО</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</si>
  <si>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Відремонтовано покрівлю. Капітальний ремонт приміщень виконано. Проект реалізовано.</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</si>
  <si>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Відремонтовано покрівлю. Роботи з капітального ремонту приміщень виконано. Придбано меблі для облаштування клубу.</t>
  </si>
  <si>
    <t xml:space="preserve">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Роботи з капітального ремонту приміщень виконано. Придбано меблі для облаштування клубу. </t>
  </si>
  <si>
    <t>Капітальний ремонт - укладено договір від 20.03.2017 № 2 на суму 824,4 тис.грн. Експертизу кошторису проведено. Відремонтовано покрівлю та фасад клубу. Роботи з капітального ремонту приміщень виконано. Придбано меблі та обладнання для облаштування клубу.</t>
  </si>
  <si>
    <t xml:space="preserve">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Роботи з капітального ремонту приміщень виконано. Придбано меблі та обладнання для облаштування клубу. </t>
  </si>
  <si>
    <t xml:space="preserve">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Роботи з капітального ремонту приміщень виконано. Придбано меблі та обладнання для облаштування клубу.  </t>
  </si>
  <si>
    <t xml:space="preserve">Капітальний ремонт шкільного стадіону </t>
  </si>
  <si>
    <t>28.04.17 укладено договір суму 973,1 тис.грн. Експертизу кошторису проведено. Капітальний ремонт шкільного стадіону виконано. Проект реалізовано.</t>
  </si>
  <si>
    <t>Завершено процедуру закупівлі в системі Prozorro. 15.05.2017 укладено договір на суму 860,8 тис.грн. Експертиза проектно-кошторисної документації проведено. Роботи з капітального ремонту спортивного майданчика виконано. Проект реалізовано.</t>
  </si>
  <si>
    <t>Процедуру закупівлі в системі Prozorro на 75,0 тис.грн. завершено. 24.04.17 укладено договір. Проведено розпломбування дерева. Проведено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Роботи з облаштування території навколо дубу виконано. Громадський проект реалізовано.</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</si>
  <si>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Виготовлено проект на влаштування освітлення. Експертизу кошторису проведено.  В системі Prozorro проведено закупівлю та укладено договір на роботи з влаштування освітлення від 23.11.2017 № 185.</t>
  </si>
  <si>
    <t>20.11.</t>
  </si>
  <si>
    <t xml:space="preserve">       станом на 01.01.2018 року    </t>
  </si>
  <si>
    <t>Проект  реалізовано</t>
  </si>
  <si>
    <t>Проект реалізовано</t>
  </si>
  <si>
    <t>Роботи з влаштування освітлення</t>
  </si>
</sst>
</file>

<file path=xl/styles.xml><?xml version="1.0" encoding="utf-8"?>
<styleSheet xmlns="http://schemas.openxmlformats.org/spreadsheetml/2006/main">
  <numFmts count="3">
    <numFmt numFmtId="164" formatCode="0.0"/>
    <numFmt numFmtId="165" formatCode="0.000"/>
    <numFmt numFmtId="166" formatCode="0.00000"/>
  </numFmts>
  <fonts count="15">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
      <sz val="11"/>
      <color theme="5" tint="-0.249977111117893"/>
      <name val="Calibri"/>
      <family val="2"/>
      <charset val="204"/>
      <scheme val="minor"/>
    </font>
    <font>
      <u/>
      <sz val="11"/>
      <color theme="7" tint="-0.499984740745262"/>
      <name val="Calibri"/>
      <family val="2"/>
      <charset val="204"/>
      <scheme val="minor"/>
    </font>
    <font>
      <sz val="13"/>
      <name val="Times New Roman"/>
      <family val="1"/>
      <charset val="204"/>
    </font>
    <font>
      <sz val="11"/>
      <name val="Calibri"/>
      <family val="2"/>
      <charset val="204"/>
      <scheme val="minor"/>
    </font>
    <font>
      <u/>
      <sz val="11"/>
      <color theme="1"/>
      <name val="Calibri"/>
      <family val="2"/>
      <charset val="204"/>
      <scheme val="minor"/>
    </font>
    <font>
      <u/>
      <sz val="11"/>
      <color theme="5" tint="-0.249977111117893"/>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14" fillId="0" borderId="0" xfId="0" applyFont="1" applyFill="1" applyAlignment="1">
      <alignment vertical="center"/>
    </xf>
    <xf numFmtId="2" fontId="0" fillId="0" borderId="0" xfId="0" applyNumberFormat="1" applyFill="1"/>
    <xf numFmtId="2" fontId="0" fillId="0" borderId="0" xfId="0" applyNumberForma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9" fillId="0" borderId="5" xfId="0" applyNumberFormat="1" applyFont="1" applyFill="1" applyBorder="1" applyAlignment="1">
      <alignment vertical="center"/>
    </xf>
    <xf numFmtId="165" fontId="9" fillId="0" borderId="7" xfId="0" applyNumberFormat="1" applyFont="1" applyFill="1" applyBorder="1" applyAlignment="1">
      <alignment vertical="center"/>
    </xf>
    <xf numFmtId="165" fontId="0" fillId="0" borderId="0" xfId="0" applyNumberFormat="1" applyFill="1" applyAlignment="1">
      <alignment vertical="center"/>
    </xf>
    <xf numFmtId="164" fontId="9" fillId="0" borderId="5" xfId="0" applyNumberFormat="1" applyFont="1" applyFill="1" applyBorder="1" applyAlignment="1">
      <alignment vertical="center"/>
    </xf>
    <xf numFmtId="164" fontId="9" fillId="0" borderId="7" xfId="0" applyNumberFormat="1" applyFont="1" applyFill="1" applyBorder="1" applyAlignment="1">
      <alignment vertical="center"/>
    </xf>
    <xf numFmtId="0" fontId="10" fillId="0" borderId="0" xfId="0" applyFont="1" applyFill="1" applyAlignment="1">
      <alignment vertical="center"/>
    </xf>
    <xf numFmtId="164" fontId="0" fillId="0" borderId="0" xfId="0" applyNumberFormat="1" applyFill="1" applyAlignment="1">
      <alignment vertical="center"/>
    </xf>
    <xf numFmtId="0" fontId="13" fillId="0" borderId="0" xfId="0" applyFont="1" applyFill="1" applyAlignment="1">
      <alignment vertical="center"/>
    </xf>
    <xf numFmtId="0" fontId="1" fillId="0" borderId="0" xfId="0" applyFont="1" applyFill="1" applyAlignment="1">
      <alignment horizontal="left" vertical="center"/>
    </xf>
    <xf numFmtId="0" fontId="4" fillId="0" borderId="1" xfId="0" applyFont="1" applyFill="1" applyBorder="1" applyAlignment="1">
      <alignment vertical="center" wrapText="1"/>
    </xf>
    <xf numFmtId="166" fontId="4" fillId="0" borderId="1" xfId="0" applyNumberFormat="1" applyFont="1" applyFill="1" applyBorder="1" applyAlignment="1">
      <alignment horizontal="right" vertical="center" wrapText="1"/>
    </xf>
    <xf numFmtId="164" fontId="4" fillId="0" borderId="5" xfId="0" applyNumberFormat="1" applyFont="1"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4"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11"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164" fontId="4" fillId="0" borderId="7"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164" fontId="0" fillId="0" borderId="7" xfId="0" applyNumberForma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11" fillId="0" borderId="7"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164" fontId="0" fillId="0" borderId="6" xfId="0" applyNumberForma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36"/>
  <sheetViews>
    <sheetView tabSelected="1" view="pageBreakPreview" zoomScale="60" workbookViewId="0">
      <selection activeCell="A2" sqref="A2:K2"/>
    </sheetView>
  </sheetViews>
  <sheetFormatPr defaultRowHeight="14.4"/>
  <cols>
    <col min="1" max="1" width="5.109375" style="1" customWidth="1"/>
    <col min="2" max="2" width="13.44140625" style="1" customWidth="1"/>
    <col min="3" max="3" width="41.6640625" style="1" customWidth="1"/>
    <col min="4" max="4" width="67.33203125" style="1" customWidth="1"/>
    <col min="5" max="5" width="11.44140625" style="1" bestFit="1" customWidth="1"/>
    <col min="6" max="6" width="11.77734375" style="1" bestFit="1" customWidth="1"/>
    <col min="7" max="7" width="15.77734375" style="1" customWidth="1"/>
    <col min="8" max="8" width="23" style="1" customWidth="1"/>
    <col min="9" max="9" width="8.33203125" style="1" customWidth="1"/>
    <col min="10" max="10" width="11.33203125" style="1" bestFit="1" customWidth="1"/>
    <col min="11" max="11" width="13.77734375" style="1" customWidth="1"/>
    <col min="12" max="12" width="9.5546875" style="1" bestFit="1" customWidth="1"/>
    <col min="13" max="13" width="10.6640625" style="1" bestFit="1" customWidth="1"/>
    <col min="14" max="14" width="9.5546875" style="1" bestFit="1" customWidth="1"/>
    <col min="15" max="15" width="11.77734375" style="1" bestFit="1" customWidth="1"/>
    <col min="16" max="16" width="9.5546875" style="1" bestFit="1" customWidth="1"/>
    <col min="17" max="17" width="10.6640625" style="1" bestFit="1" customWidth="1"/>
    <col min="18" max="18" width="9.5546875" style="1" bestFit="1" customWidth="1"/>
    <col min="19" max="16384" width="8.88671875" style="1"/>
  </cols>
  <sheetData>
    <row r="1" spans="1:14" ht="21">
      <c r="A1" s="48" t="s">
        <v>25</v>
      </c>
      <c r="B1" s="48"/>
      <c r="C1" s="48"/>
      <c r="D1" s="48"/>
      <c r="E1" s="48"/>
      <c r="F1" s="48"/>
      <c r="G1" s="48"/>
      <c r="H1" s="48"/>
      <c r="I1" s="48"/>
      <c r="J1" s="48"/>
      <c r="K1" s="48"/>
    </row>
    <row r="2" spans="1:14" ht="21">
      <c r="A2" s="48" t="s">
        <v>54</v>
      </c>
      <c r="B2" s="48"/>
      <c r="C2" s="48"/>
      <c r="D2" s="48"/>
      <c r="E2" s="48"/>
      <c r="F2" s="48"/>
      <c r="G2" s="48"/>
      <c r="H2" s="48"/>
      <c r="I2" s="48"/>
      <c r="J2" s="48"/>
      <c r="K2" s="48"/>
    </row>
    <row r="3" spans="1:14" ht="15.6">
      <c r="A3" s="49" t="s">
        <v>26</v>
      </c>
      <c r="B3" s="49"/>
      <c r="C3" s="49"/>
      <c r="D3" s="49"/>
      <c r="E3" s="49"/>
      <c r="F3" s="49"/>
      <c r="G3" s="49"/>
      <c r="H3" s="49"/>
      <c r="I3" s="49"/>
      <c r="J3" s="49"/>
      <c r="K3" s="49"/>
    </row>
    <row r="4" spans="1:14" ht="3.6" customHeight="1"/>
    <row r="5" spans="1:14" s="2" customFormat="1" ht="16.8">
      <c r="A5" s="50" t="s">
        <v>10</v>
      </c>
      <c r="B5" s="50" t="s">
        <v>9</v>
      </c>
      <c r="C5" s="50" t="s">
        <v>8</v>
      </c>
      <c r="D5" s="50" t="s">
        <v>0</v>
      </c>
      <c r="E5" s="50" t="s">
        <v>23</v>
      </c>
      <c r="F5" s="50"/>
      <c r="G5" s="50"/>
      <c r="H5" s="50" t="s">
        <v>1</v>
      </c>
      <c r="I5" s="50"/>
      <c r="J5" s="50"/>
      <c r="K5" s="50" t="s">
        <v>2</v>
      </c>
    </row>
    <row r="6" spans="1:14" s="2" customFormat="1" ht="61.8" customHeight="1">
      <c r="A6" s="51"/>
      <c r="B6" s="51"/>
      <c r="C6" s="51"/>
      <c r="D6" s="51"/>
      <c r="E6" s="50" t="s">
        <v>3</v>
      </c>
      <c r="F6" s="50" t="s">
        <v>4</v>
      </c>
      <c r="G6" s="50" t="s">
        <v>5</v>
      </c>
      <c r="H6" s="50" t="s">
        <v>6</v>
      </c>
      <c r="I6" s="50" t="s">
        <v>24</v>
      </c>
      <c r="J6" s="50"/>
      <c r="K6" s="51"/>
    </row>
    <row r="7" spans="1:14" s="2" customFormat="1" ht="25.8" customHeight="1">
      <c r="A7" s="51"/>
      <c r="B7" s="51"/>
      <c r="C7" s="51"/>
      <c r="D7" s="51"/>
      <c r="E7" s="51"/>
      <c r="F7" s="51"/>
      <c r="G7" s="51"/>
      <c r="H7" s="51"/>
      <c r="I7" s="16" t="s">
        <v>7</v>
      </c>
      <c r="J7" s="16" t="s">
        <v>4</v>
      </c>
      <c r="K7" s="51"/>
    </row>
    <row r="8" spans="1:14" s="4" customFormat="1" ht="16.8">
      <c r="A8" s="3">
        <v>1</v>
      </c>
      <c r="B8" s="3">
        <v>2</v>
      </c>
      <c r="C8" s="3">
        <v>3</v>
      </c>
      <c r="D8" s="3">
        <v>4</v>
      </c>
      <c r="E8" s="3">
        <v>5</v>
      </c>
      <c r="F8" s="3">
        <v>6</v>
      </c>
      <c r="G8" s="3">
        <v>7</v>
      </c>
      <c r="H8" s="3">
        <v>8</v>
      </c>
      <c r="I8" s="3">
        <v>9</v>
      </c>
      <c r="J8" s="3">
        <v>10</v>
      </c>
      <c r="K8" s="3">
        <v>11</v>
      </c>
    </row>
    <row r="9" spans="1:14" s="7" customFormat="1" ht="16.8">
      <c r="A9" s="32">
        <v>1</v>
      </c>
      <c r="B9" s="32">
        <v>521</v>
      </c>
      <c r="C9" s="35" t="s">
        <v>11</v>
      </c>
      <c r="D9" s="32" t="s">
        <v>46</v>
      </c>
      <c r="E9" s="29">
        <v>988</v>
      </c>
      <c r="F9" s="29">
        <f>J9+J10+J11+J12</f>
        <v>981.20579999999995</v>
      </c>
      <c r="G9" s="29">
        <f>E9-F9</f>
        <v>6.7942000000000462</v>
      </c>
      <c r="H9" s="6" t="s">
        <v>27</v>
      </c>
      <c r="I9" s="5">
        <v>124.6088</v>
      </c>
      <c r="J9" s="5">
        <f>122.7228+1.886</f>
        <v>124.6088</v>
      </c>
      <c r="K9" s="32" t="s">
        <v>56</v>
      </c>
      <c r="M9" s="18">
        <f>J9-I9</f>
        <v>0</v>
      </c>
    </row>
    <row r="10" spans="1:14" s="7" customFormat="1" ht="50.4">
      <c r="A10" s="42"/>
      <c r="B10" s="42"/>
      <c r="C10" s="43"/>
      <c r="D10" s="42"/>
      <c r="E10" s="41"/>
      <c r="F10" s="41"/>
      <c r="G10" s="41"/>
      <c r="H10" s="6" t="s">
        <v>29</v>
      </c>
      <c r="I10" s="5">
        <v>66</v>
      </c>
      <c r="J10" s="5">
        <f>61+5</f>
        <v>66</v>
      </c>
      <c r="K10" s="33"/>
      <c r="M10" s="18">
        <f>J10-I10</f>
        <v>0</v>
      </c>
    </row>
    <row r="11" spans="1:14" s="7" customFormat="1" ht="33.6">
      <c r="A11" s="33"/>
      <c r="B11" s="33"/>
      <c r="C11" s="36"/>
      <c r="D11" s="33"/>
      <c r="E11" s="30"/>
      <c r="F11" s="44"/>
      <c r="G11" s="30"/>
      <c r="H11" s="6" t="s">
        <v>31</v>
      </c>
      <c r="I11" s="5">
        <v>35</v>
      </c>
      <c r="J11" s="5">
        <v>28.95</v>
      </c>
      <c r="K11" s="33"/>
      <c r="M11" s="19">
        <f t="shared" ref="M11:M27" si="0">J11-I11</f>
        <v>-6.0500000000000007</v>
      </c>
    </row>
    <row r="12" spans="1:14" s="7" customFormat="1" ht="27.6" customHeight="1">
      <c r="A12" s="34"/>
      <c r="B12" s="34"/>
      <c r="C12" s="37"/>
      <c r="D12" s="34"/>
      <c r="E12" s="31"/>
      <c r="F12" s="31"/>
      <c r="G12" s="31"/>
      <c r="H12" s="6" t="s">
        <v>28</v>
      </c>
      <c r="I12" s="5">
        <f>757+5.3912</f>
        <v>762.39120000000003</v>
      </c>
      <c r="J12" s="5">
        <f>429.6696+311.3434+6.9+13.4844+0.2496</f>
        <v>761.64699999999993</v>
      </c>
      <c r="K12" s="34"/>
      <c r="L12" s="20"/>
      <c r="M12" s="19">
        <f t="shared" si="0"/>
        <v>-0.74420000000009168</v>
      </c>
    </row>
    <row r="13" spans="1:14" s="7" customFormat="1" ht="40.799999999999997" customHeight="1">
      <c r="A13" s="32">
        <v>2</v>
      </c>
      <c r="B13" s="32">
        <v>519</v>
      </c>
      <c r="C13" s="35" t="s">
        <v>12</v>
      </c>
      <c r="D13" s="32" t="s">
        <v>42</v>
      </c>
      <c r="E13" s="29">
        <v>995</v>
      </c>
      <c r="F13" s="29">
        <f>J13+J14</f>
        <v>989.48991000000012</v>
      </c>
      <c r="G13" s="29">
        <f t="shared" ref="G13:G15" si="1">E13-F13</f>
        <v>5.5100899999998774</v>
      </c>
      <c r="H13" s="6" t="s">
        <v>27</v>
      </c>
      <c r="I13" s="5">
        <v>105</v>
      </c>
      <c r="J13" s="5">
        <f>98.118+1.525</f>
        <v>99.643000000000001</v>
      </c>
      <c r="K13" s="32" t="s">
        <v>56</v>
      </c>
      <c r="M13" s="21">
        <f t="shared" si="0"/>
        <v>-5.3569999999999993</v>
      </c>
    </row>
    <row r="14" spans="1:14" s="7" customFormat="1" ht="45.6" customHeight="1">
      <c r="A14" s="34"/>
      <c r="B14" s="34"/>
      <c r="C14" s="37"/>
      <c r="D14" s="34"/>
      <c r="E14" s="31"/>
      <c r="F14" s="58"/>
      <c r="G14" s="31"/>
      <c r="H14" s="6" t="s">
        <v>28</v>
      </c>
      <c r="I14" s="5">
        <v>890</v>
      </c>
      <c r="J14" s="5">
        <f>769.45699+55.23911+52.08536+(13.06545)</f>
        <v>889.84691000000009</v>
      </c>
      <c r="K14" s="34"/>
      <c r="M14" s="21">
        <f t="shared" si="0"/>
        <v>-0.15308999999990647</v>
      </c>
    </row>
    <row r="15" spans="1:14" s="7" customFormat="1" ht="22.8" customHeight="1">
      <c r="A15" s="32">
        <v>3</v>
      </c>
      <c r="B15" s="32">
        <v>535</v>
      </c>
      <c r="C15" s="35" t="s">
        <v>13</v>
      </c>
      <c r="D15" s="38" t="s">
        <v>47</v>
      </c>
      <c r="E15" s="54">
        <v>670.1</v>
      </c>
      <c r="F15" s="29">
        <f>J15+J16+J17+J18</f>
        <v>665.60621999999989</v>
      </c>
      <c r="G15" s="29">
        <f t="shared" si="1"/>
        <v>4.4937800000001289</v>
      </c>
      <c r="H15" s="6" t="s">
        <v>27</v>
      </c>
      <c r="I15" s="5">
        <v>57.822710000000001</v>
      </c>
      <c r="J15" s="5">
        <f>56.9+0.92271</f>
        <v>57.822710000000001</v>
      </c>
      <c r="K15" s="32" t="s">
        <v>56</v>
      </c>
      <c r="M15" s="22">
        <f t="shared" si="0"/>
        <v>0</v>
      </c>
    </row>
    <row r="16" spans="1:14" s="7" customFormat="1" ht="16.8">
      <c r="A16" s="42"/>
      <c r="B16" s="42"/>
      <c r="C16" s="43"/>
      <c r="D16" s="53"/>
      <c r="E16" s="55"/>
      <c r="F16" s="41"/>
      <c r="G16" s="41"/>
      <c r="H16" s="6" t="s">
        <v>33</v>
      </c>
      <c r="I16" s="5">
        <v>50</v>
      </c>
      <c r="J16" s="5">
        <f>19.992+5.1+22.04999+2.30784</f>
        <v>49.449829999999999</v>
      </c>
      <c r="K16" s="33"/>
      <c r="M16" s="22">
        <f t="shared" si="0"/>
        <v>-0.55017000000000138</v>
      </c>
      <c r="N16" s="23"/>
    </row>
    <row r="17" spans="1:18" s="7" customFormat="1" ht="51.6" customHeight="1">
      <c r="A17" s="42"/>
      <c r="B17" s="42"/>
      <c r="C17" s="43"/>
      <c r="D17" s="53"/>
      <c r="E17" s="55"/>
      <c r="F17" s="41"/>
      <c r="G17" s="41"/>
      <c r="H17" s="6" t="s">
        <v>32</v>
      </c>
      <c r="I17" s="5">
        <v>50</v>
      </c>
      <c r="J17" s="5">
        <f>9.94+19.6+8.99+8.299</f>
        <v>46.829000000000001</v>
      </c>
      <c r="K17" s="33"/>
      <c r="M17" s="22">
        <f t="shared" si="0"/>
        <v>-3.1709999999999994</v>
      </c>
    </row>
    <row r="18" spans="1:18" s="7" customFormat="1" ht="22.2" customHeight="1">
      <c r="A18" s="34"/>
      <c r="B18" s="34"/>
      <c r="C18" s="52"/>
      <c r="D18" s="40"/>
      <c r="E18" s="56"/>
      <c r="F18" s="57"/>
      <c r="G18" s="57"/>
      <c r="H18" s="6" t="s">
        <v>28</v>
      </c>
      <c r="I18" s="5">
        <f>510.1+2.17729</f>
        <v>512.27728999999999</v>
      </c>
      <c r="J18" s="5">
        <f>119.6532+365.856+2.6454+22.9224+0.42768</f>
        <v>511.50467999999995</v>
      </c>
      <c r="K18" s="34"/>
      <c r="M18" s="22">
        <f t="shared" si="0"/>
        <v>-0.77261000000004287</v>
      </c>
    </row>
    <row r="19" spans="1:18" s="7" customFormat="1" ht="16.8">
      <c r="A19" s="32">
        <v>4</v>
      </c>
      <c r="B19" s="32">
        <v>527</v>
      </c>
      <c r="C19" s="35" t="s">
        <v>30</v>
      </c>
      <c r="D19" s="38" t="s">
        <v>43</v>
      </c>
      <c r="E19" s="29">
        <v>986</v>
      </c>
      <c r="F19" s="29">
        <f>J20+J21+J19</f>
        <v>985.49966999999992</v>
      </c>
      <c r="G19" s="29">
        <f>E19-F19</f>
        <v>0.50033000000007632</v>
      </c>
      <c r="H19" s="6" t="s">
        <v>33</v>
      </c>
      <c r="I19" s="5">
        <v>22</v>
      </c>
      <c r="J19" s="5">
        <f>8.8+4.8+8.4</f>
        <v>22</v>
      </c>
      <c r="K19" s="32" t="s">
        <v>56</v>
      </c>
      <c r="L19" s="23"/>
      <c r="M19" s="22">
        <f t="shared" si="0"/>
        <v>0</v>
      </c>
    </row>
    <row r="20" spans="1:18" s="7" customFormat="1" ht="33" customHeight="1">
      <c r="A20" s="33"/>
      <c r="B20" s="33"/>
      <c r="C20" s="36"/>
      <c r="D20" s="39"/>
      <c r="E20" s="30"/>
      <c r="F20" s="30"/>
      <c r="G20" s="30"/>
      <c r="H20" s="6" t="s">
        <v>27</v>
      </c>
      <c r="I20" s="5">
        <v>44.8628</v>
      </c>
      <c r="J20" s="5">
        <f>44.1768+0.686</f>
        <v>44.8628</v>
      </c>
      <c r="K20" s="33"/>
      <c r="M20" s="22">
        <f t="shared" si="0"/>
        <v>0</v>
      </c>
    </row>
    <row r="21" spans="1:18" s="7" customFormat="1" ht="54.6" customHeight="1">
      <c r="A21" s="34"/>
      <c r="B21" s="34"/>
      <c r="C21" s="37"/>
      <c r="D21" s="40"/>
      <c r="E21" s="31"/>
      <c r="F21" s="31"/>
      <c r="G21" s="31"/>
      <c r="H21" s="6" t="s">
        <v>28</v>
      </c>
      <c r="I21" s="5">
        <f>914+5.1372</f>
        <v>919.13720000000001</v>
      </c>
      <c r="J21" s="5">
        <f>664.218+214.5072+13.54167+26.37</f>
        <v>918.63686999999993</v>
      </c>
      <c r="K21" s="34"/>
      <c r="M21" s="22">
        <f t="shared" si="0"/>
        <v>-0.50033000000007632</v>
      </c>
    </row>
    <row r="22" spans="1:18" s="7" customFormat="1" ht="33" customHeight="1">
      <c r="A22" s="32">
        <v>5</v>
      </c>
      <c r="B22" s="32">
        <v>541</v>
      </c>
      <c r="C22" s="35" t="s">
        <v>39</v>
      </c>
      <c r="D22" s="32" t="s">
        <v>44</v>
      </c>
      <c r="E22" s="29">
        <v>950</v>
      </c>
      <c r="F22" s="29">
        <f>J22+J23+J24</f>
        <v>944.29687999999999</v>
      </c>
      <c r="G22" s="29">
        <f>E22-F22</f>
        <v>5.7031200000000126</v>
      </c>
      <c r="H22" s="6" t="s">
        <v>33</v>
      </c>
      <c r="I22" s="5">
        <v>50</v>
      </c>
      <c r="J22" s="5">
        <f>18.075+2.69+19.33+3.892+2.898+2.68128</f>
        <v>49.566280000000006</v>
      </c>
      <c r="K22" s="32" t="s">
        <v>56</v>
      </c>
      <c r="L22" s="24"/>
      <c r="M22" s="22">
        <f t="shared" si="0"/>
        <v>-0.43371999999999389</v>
      </c>
    </row>
    <row r="23" spans="1:18" s="7" customFormat="1" ht="21" customHeight="1">
      <c r="A23" s="33"/>
      <c r="B23" s="33"/>
      <c r="C23" s="36"/>
      <c r="D23" s="33"/>
      <c r="E23" s="30"/>
      <c r="F23" s="30"/>
      <c r="G23" s="30"/>
      <c r="H23" s="6" t="s">
        <v>27</v>
      </c>
      <c r="I23" s="5">
        <v>90</v>
      </c>
      <c r="J23" s="5">
        <f>83.4336+1.297</f>
        <v>84.730599999999995</v>
      </c>
      <c r="K23" s="33"/>
      <c r="M23" s="22">
        <f t="shared" si="0"/>
        <v>-5.2694000000000045</v>
      </c>
    </row>
    <row r="24" spans="1:18" s="7" customFormat="1" ht="16.8">
      <c r="A24" s="34"/>
      <c r="B24" s="34"/>
      <c r="C24" s="37"/>
      <c r="D24" s="34"/>
      <c r="E24" s="31"/>
      <c r="F24" s="31"/>
      <c r="G24" s="31"/>
      <c r="H24" s="6" t="s">
        <v>28</v>
      </c>
      <c r="I24" s="5">
        <v>810</v>
      </c>
      <c r="J24" s="5">
        <f>639.9456+161.8544+8.2</f>
        <v>810</v>
      </c>
      <c r="K24" s="34"/>
      <c r="M24" s="22">
        <f t="shared" si="0"/>
        <v>0</v>
      </c>
      <c r="N24" s="25"/>
    </row>
    <row r="25" spans="1:18" s="7" customFormat="1" ht="53.4" customHeight="1">
      <c r="A25" s="32">
        <v>6</v>
      </c>
      <c r="B25" s="32">
        <v>543</v>
      </c>
      <c r="C25" s="35" t="s">
        <v>14</v>
      </c>
      <c r="D25" s="32" t="s">
        <v>45</v>
      </c>
      <c r="E25" s="29">
        <v>1000</v>
      </c>
      <c r="F25" s="29">
        <f>J25+J27+J26</f>
        <v>998.22027999999978</v>
      </c>
      <c r="G25" s="29">
        <f>E25-F25</f>
        <v>1.7797200000002249</v>
      </c>
      <c r="H25" s="6" t="s">
        <v>35</v>
      </c>
      <c r="I25" s="5">
        <f>20+72.7</f>
        <v>92.7</v>
      </c>
      <c r="J25" s="5">
        <f>19.78613+10.634+20.91486+26.932+12.75</f>
        <v>91.016990000000007</v>
      </c>
      <c r="K25" s="32" t="s">
        <v>56</v>
      </c>
      <c r="M25" s="22">
        <f t="shared" si="0"/>
        <v>-1.6830099999999959</v>
      </c>
    </row>
    <row r="26" spans="1:18" s="7" customFormat="1" ht="16.8">
      <c r="A26" s="42"/>
      <c r="B26" s="42"/>
      <c r="C26" s="43"/>
      <c r="D26" s="42"/>
      <c r="E26" s="41"/>
      <c r="F26" s="41"/>
      <c r="G26" s="41"/>
      <c r="H26" s="6" t="s">
        <v>33</v>
      </c>
      <c r="I26" s="5">
        <v>10</v>
      </c>
      <c r="J26" s="5">
        <v>9.9999599999999997</v>
      </c>
      <c r="K26" s="33"/>
      <c r="M26" s="22">
        <f t="shared" si="0"/>
        <v>-4.0000000000262048E-5</v>
      </c>
      <c r="N26" s="23"/>
    </row>
    <row r="27" spans="1:18" s="7" customFormat="1" ht="69.599999999999994" customHeight="1">
      <c r="A27" s="34"/>
      <c r="B27" s="34"/>
      <c r="C27" s="37"/>
      <c r="D27" s="34"/>
      <c r="E27" s="31"/>
      <c r="F27" s="31"/>
      <c r="G27" s="31"/>
      <c r="H27" s="6" t="s">
        <v>34</v>
      </c>
      <c r="I27" s="5">
        <f>970-72.7</f>
        <v>897.3</v>
      </c>
      <c r="J27" s="5">
        <f>339.91483+278.79407+191.1347+67.339+13.042+6.87241+0.10632</f>
        <v>897.20332999999982</v>
      </c>
      <c r="K27" s="34"/>
      <c r="M27" s="22">
        <f t="shared" si="0"/>
        <v>-9.667000000013104E-2</v>
      </c>
    </row>
    <row r="28" spans="1:18" s="26" customFormat="1" ht="17.399999999999999">
      <c r="A28" s="45" t="s">
        <v>20</v>
      </c>
      <c r="B28" s="46"/>
      <c r="C28" s="46"/>
      <c r="D28" s="47"/>
      <c r="E28" s="8">
        <f>SUM(E9:E25)</f>
        <v>5589.1</v>
      </c>
      <c r="F28" s="8">
        <f>SUM(F9:F25)</f>
        <v>5564.3187599999992</v>
      </c>
      <c r="G28" s="8">
        <f>SUM(G9:G25)</f>
        <v>24.781240000000366</v>
      </c>
      <c r="H28" s="9" t="s">
        <v>22</v>
      </c>
      <c r="I28" s="8">
        <f>SUM(I9:I27)</f>
        <v>5589.1</v>
      </c>
      <c r="J28" s="8">
        <f>SUM(J9:J27)</f>
        <v>5564.3187600000001</v>
      </c>
      <c r="K28" s="16" t="s">
        <v>22</v>
      </c>
      <c r="L28" s="26" t="s">
        <v>36</v>
      </c>
      <c r="M28" s="26" t="s">
        <v>37</v>
      </c>
    </row>
    <row r="29" spans="1:18" s="7" customFormat="1" ht="50.4">
      <c r="A29" s="17">
        <v>7</v>
      </c>
      <c r="B29" s="17">
        <v>114</v>
      </c>
      <c r="C29" s="27" t="s">
        <v>15</v>
      </c>
      <c r="D29" s="17" t="s">
        <v>49</v>
      </c>
      <c r="E29" s="5">
        <v>990.1</v>
      </c>
      <c r="F29" s="5">
        <f>J29</f>
        <v>969.48748999999998</v>
      </c>
      <c r="G29" s="5">
        <f>E29-F29</f>
        <v>20.612510000000043</v>
      </c>
      <c r="H29" s="6" t="s">
        <v>48</v>
      </c>
      <c r="I29" s="5">
        <v>990.09799999999996</v>
      </c>
      <c r="J29" s="5">
        <v>969.48748999999998</v>
      </c>
      <c r="K29" s="17" t="s">
        <v>55</v>
      </c>
      <c r="O29" s="15"/>
    </row>
    <row r="30" spans="1:18" s="7" customFormat="1" ht="17.399999999999999">
      <c r="A30" s="45" t="s">
        <v>19</v>
      </c>
      <c r="B30" s="46"/>
      <c r="C30" s="46"/>
      <c r="D30" s="47"/>
      <c r="E30" s="8">
        <f>E29</f>
        <v>990.1</v>
      </c>
      <c r="F30" s="8">
        <f t="shared" ref="F30:J30" si="2">F29</f>
        <v>969.48748999999998</v>
      </c>
      <c r="G30" s="8">
        <f t="shared" si="2"/>
        <v>20.612510000000043</v>
      </c>
      <c r="H30" s="9" t="s">
        <v>22</v>
      </c>
      <c r="I30" s="8">
        <f t="shared" si="2"/>
        <v>990.09799999999996</v>
      </c>
      <c r="J30" s="8">
        <f t="shared" si="2"/>
        <v>969.48748999999998</v>
      </c>
      <c r="K30" s="17" t="s">
        <v>22</v>
      </c>
      <c r="O30" s="15"/>
    </row>
    <row r="31" spans="1:18" s="7" customFormat="1" ht="134.4">
      <c r="A31" s="17">
        <v>8</v>
      </c>
      <c r="B31" s="17">
        <v>306</v>
      </c>
      <c r="C31" s="27" t="s">
        <v>16</v>
      </c>
      <c r="D31" s="17" t="s">
        <v>51</v>
      </c>
      <c r="E31" s="5">
        <v>75</v>
      </c>
      <c r="F31" s="5">
        <f>J31</f>
        <v>75</v>
      </c>
      <c r="G31" s="5">
        <f>E31-F31</f>
        <v>0</v>
      </c>
      <c r="H31" s="6" t="s">
        <v>22</v>
      </c>
      <c r="I31" s="5">
        <v>75</v>
      </c>
      <c r="J31" s="5">
        <f>30.8+44.2</f>
        <v>75</v>
      </c>
      <c r="K31" s="17" t="s">
        <v>56</v>
      </c>
    </row>
    <row r="32" spans="1:18" s="7" customFormat="1" ht="94.8" customHeight="1">
      <c r="A32" s="32">
        <v>9</v>
      </c>
      <c r="B32" s="32">
        <v>174</v>
      </c>
      <c r="C32" s="35" t="s">
        <v>17</v>
      </c>
      <c r="D32" s="32" t="s">
        <v>52</v>
      </c>
      <c r="E32" s="29">
        <v>880.7</v>
      </c>
      <c r="F32" s="29">
        <f>J32+J33</f>
        <v>880.7</v>
      </c>
      <c r="G32" s="29">
        <f>E32-F32</f>
        <v>0</v>
      </c>
      <c r="H32" s="6" t="s">
        <v>38</v>
      </c>
      <c r="I32" s="5">
        <v>71.566800000000001</v>
      </c>
      <c r="J32" s="5">
        <v>71.566800000000001</v>
      </c>
      <c r="K32" s="32" t="s">
        <v>56</v>
      </c>
      <c r="L32" s="13" t="s">
        <v>41</v>
      </c>
      <c r="O32" s="7" t="s">
        <v>53</v>
      </c>
      <c r="P32" s="15">
        <v>69699.600000000006</v>
      </c>
      <c r="Q32" s="15">
        <v>1867.2</v>
      </c>
      <c r="R32" s="15">
        <f>P32+Q32</f>
        <v>71566.8</v>
      </c>
    </row>
    <row r="33" spans="1:17" s="7" customFormat="1" ht="147" customHeight="1">
      <c r="A33" s="34"/>
      <c r="B33" s="34"/>
      <c r="C33" s="37"/>
      <c r="D33" s="34"/>
      <c r="E33" s="58"/>
      <c r="F33" s="58"/>
      <c r="G33" s="58"/>
      <c r="H33" s="6" t="s">
        <v>57</v>
      </c>
      <c r="I33" s="5">
        <v>809.13319999999999</v>
      </c>
      <c r="J33" s="6">
        <v>809.13319999999999</v>
      </c>
      <c r="K33" s="34"/>
    </row>
    <row r="34" spans="1:17" s="7" customFormat="1" ht="84">
      <c r="A34" s="17">
        <v>10</v>
      </c>
      <c r="B34" s="17">
        <v>115</v>
      </c>
      <c r="C34" s="27" t="s">
        <v>18</v>
      </c>
      <c r="D34" s="17" t="s">
        <v>50</v>
      </c>
      <c r="E34" s="5">
        <v>932.6</v>
      </c>
      <c r="F34" s="28">
        <f>J34</f>
        <v>833.87463000000002</v>
      </c>
      <c r="G34" s="5">
        <f t="shared" ref="G34" si="3">E34-F34</f>
        <v>98.725369999999998</v>
      </c>
      <c r="H34" s="6" t="s">
        <v>22</v>
      </c>
      <c r="I34" s="5">
        <v>932.6</v>
      </c>
      <c r="J34" s="5">
        <f>258.25048+575.62415</f>
        <v>833.87463000000002</v>
      </c>
      <c r="K34" s="17" t="s">
        <v>56</v>
      </c>
      <c r="L34" s="24">
        <f>806181.41</f>
        <v>806181.41</v>
      </c>
      <c r="M34" s="15">
        <f>258250.48</f>
        <v>258250.48</v>
      </c>
      <c r="N34" s="15">
        <v>15381.22</v>
      </c>
      <c r="O34" s="15">
        <v>547930.93000000005</v>
      </c>
      <c r="P34" s="15">
        <v>12312</v>
      </c>
      <c r="Q34" s="15">
        <f>N34+O34+P34+M34</f>
        <v>833874.63</v>
      </c>
    </row>
    <row r="35" spans="1:17" ht="17.399999999999999" customHeight="1">
      <c r="A35" s="45" t="s">
        <v>40</v>
      </c>
      <c r="B35" s="46"/>
      <c r="C35" s="46"/>
      <c r="D35" s="47"/>
      <c r="E35" s="10">
        <f>SUM(E31:E34)</f>
        <v>1888.3000000000002</v>
      </c>
      <c r="F35" s="10">
        <f t="shared" ref="F35:J35" si="4">SUM(F31:F34)</f>
        <v>1789.5746300000001</v>
      </c>
      <c r="G35" s="10">
        <f t="shared" si="4"/>
        <v>98.725369999999998</v>
      </c>
      <c r="H35" s="11" t="s">
        <v>22</v>
      </c>
      <c r="I35" s="10">
        <f t="shared" si="4"/>
        <v>1888.3000000000002</v>
      </c>
      <c r="J35" s="10">
        <f t="shared" si="4"/>
        <v>1789.5746300000001</v>
      </c>
      <c r="K35" s="12" t="s">
        <v>22</v>
      </c>
      <c r="N35" s="1">
        <v>258300</v>
      </c>
      <c r="O35" s="14">
        <v>575574.63</v>
      </c>
      <c r="Q35" s="15">
        <f>N35+O35+P35</f>
        <v>833874.63</v>
      </c>
    </row>
    <row r="36" spans="1:17" ht="17.399999999999999">
      <c r="A36" s="45" t="s">
        <v>21</v>
      </c>
      <c r="B36" s="46"/>
      <c r="C36" s="46"/>
      <c r="D36" s="47"/>
      <c r="E36" s="10">
        <f>E28+E30+E35</f>
        <v>8467.5</v>
      </c>
      <c r="F36" s="10">
        <f t="shared" ref="F36:J36" si="5">F28+F30+F35</f>
        <v>8323.3808800000006</v>
      </c>
      <c r="G36" s="10">
        <f t="shared" si="5"/>
        <v>144.11912000000041</v>
      </c>
      <c r="H36" s="11" t="s">
        <v>22</v>
      </c>
      <c r="I36" s="10">
        <f t="shared" si="5"/>
        <v>8467.4979999999996</v>
      </c>
      <c r="J36" s="10">
        <f t="shared" si="5"/>
        <v>8323.3808800000006</v>
      </c>
      <c r="K36" s="12" t="s">
        <v>22</v>
      </c>
    </row>
  </sheetData>
  <mergeCells count="75">
    <mergeCell ref="K32:K33"/>
    <mergeCell ref="K19:K21"/>
    <mergeCell ref="K13:K14"/>
    <mergeCell ref="K25:K27"/>
    <mergeCell ref="K15:K18"/>
    <mergeCell ref="K9:K12"/>
    <mergeCell ref="K22:K24"/>
    <mergeCell ref="F32:F33"/>
    <mergeCell ref="G32:G33"/>
    <mergeCell ref="A32:A33"/>
    <mergeCell ref="B32:B33"/>
    <mergeCell ref="C32:C33"/>
    <mergeCell ref="D32:D33"/>
    <mergeCell ref="E32:E33"/>
    <mergeCell ref="A30:D30"/>
    <mergeCell ref="G13:G14"/>
    <mergeCell ref="A22:A24"/>
    <mergeCell ref="A9:A12"/>
    <mergeCell ref="B9:B12"/>
    <mergeCell ref="C9:C12"/>
    <mergeCell ref="F13:F14"/>
    <mergeCell ref="F6:F7"/>
    <mergeCell ref="G6:G7"/>
    <mergeCell ref="A1:K1"/>
    <mergeCell ref="A28:D28"/>
    <mergeCell ref="C15:C18"/>
    <mergeCell ref="D15:D18"/>
    <mergeCell ref="E15:E18"/>
    <mergeCell ref="F15:F18"/>
    <mergeCell ref="G15:G18"/>
    <mergeCell ref="E13:E14"/>
    <mergeCell ref="G22:G24"/>
    <mergeCell ref="B22:B24"/>
    <mergeCell ref="C22:C24"/>
    <mergeCell ref="D22:D24"/>
    <mergeCell ref="E22:E24"/>
    <mergeCell ref="F22:F24"/>
    <mergeCell ref="A35:D35"/>
    <mergeCell ref="A36:D36"/>
    <mergeCell ref="A2:K2"/>
    <mergeCell ref="A3:K3"/>
    <mergeCell ref="K5:K7"/>
    <mergeCell ref="D5:D7"/>
    <mergeCell ref="C5:C7"/>
    <mergeCell ref="B5:B7"/>
    <mergeCell ref="A5:A7"/>
    <mergeCell ref="H6:H7"/>
    <mergeCell ref="E5:G5"/>
    <mergeCell ref="H5:J5"/>
    <mergeCell ref="I6:J6"/>
    <mergeCell ref="A15:A18"/>
    <mergeCell ref="E6:E7"/>
    <mergeCell ref="G9:G12"/>
    <mergeCell ref="B15:B18"/>
    <mergeCell ref="A13:A14"/>
    <mergeCell ref="B13:B14"/>
    <mergeCell ref="C13:C14"/>
    <mergeCell ref="D13:D14"/>
    <mergeCell ref="D9:D12"/>
    <mergeCell ref="E9:E12"/>
    <mergeCell ref="F9:F12"/>
    <mergeCell ref="F19:F21"/>
    <mergeCell ref="F25:F27"/>
    <mergeCell ref="G25:G27"/>
    <mergeCell ref="A25:A27"/>
    <mergeCell ref="B25:B27"/>
    <mergeCell ref="C25:C27"/>
    <mergeCell ref="D25:D27"/>
    <mergeCell ref="E25:E27"/>
    <mergeCell ref="G19:G21"/>
    <mergeCell ref="A19:A21"/>
    <mergeCell ref="B19:B21"/>
    <mergeCell ref="C19:C21"/>
    <mergeCell ref="D19:D21"/>
    <mergeCell ref="E19:E21"/>
  </mergeCells>
  <printOptions horizontalCentered="1"/>
  <pageMargins left="0.23622047244094491" right="0.23622047244094491" top="0.27559055118110237" bottom="0.27559055118110237" header="0.31496062992125984" footer="0.31496062992125984"/>
  <pageSetup paperSize="9" scale="64"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2018-01-05T10:59:21Z</dcterms:modified>
</cp:coreProperties>
</file>